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599" activeTab="0"/>
  </bookViews>
  <sheets>
    <sheet name="01.01.2011" sheetId="1" r:id="rId1"/>
  </sheets>
  <definedNames>
    <definedName name="_xlnm.Print_Titles" localSheetId="0">'01.01.2011'!$A:$A</definedName>
  </definedNames>
  <calcPr fullCalcOnLoad="1"/>
</workbook>
</file>

<file path=xl/sharedStrings.xml><?xml version="1.0" encoding="utf-8"?>
<sst xmlns="http://schemas.openxmlformats.org/spreadsheetml/2006/main" count="543" uniqueCount="176">
  <si>
    <t>Расчет целевого значения индикатора</t>
  </si>
  <si>
    <t>Бальная оценка</t>
  </si>
  <si>
    <t xml:space="preserve">Б i – утвержденный в установленном порядке норматив формирования расходов на оплату труда депутатов, выборных должностных лиц и муниципальных служащих органов местного самоуправления </t>
  </si>
  <si>
    <t>Пi – размещение  проекта местного бюджета (+1)</t>
  </si>
  <si>
    <t>Бi – размещение решения об утверждении местного бюджета на отчетный финансовый год (+1)</t>
  </si>
  <si>
    <t>Оi – размещение  годового отчета об  исполнении местного бюджета</t>
  </si>
  <si>
    <t>Сi – размещение ежеквартальных сведений о ходе исполнения местного бюджета (+1)</t>
  </si>
  <si>
    <t>Чi – размещение  ежеквартальных сведений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содержание(+1)</t>
  </si>
  <si>
    <t>Аi – наличие МПА,  устанавливающего порядок определения объема и предоставления субсидий из местных бюджетов автономным учреждениям</t>
  </si>
  <si>
    <t>Аi – наличие МПА, устанавливающего порядок формирования муниципального задания</t>
  </si>
  <si>
    <t>Аi – наличие МПА, устанавливающего порядок финансового обеспечения выполнения муниципального задания</t>
  </si>
  <si>
    <t>Аi – наличие МПА, устанавливающего порядок разработки, утверждения  и реализации ведомственных целевых программ</t>
  </si>
  <si>
    <t xml:space="preserve">Р 23 МПА, устанавливающий порядок определения объема и предоставления субсидий из местных бюджетов автономным учреждениям </t>
  </si>
  <si>
    <t xml:space="preserve">Р24 МПА, устанавливающий порядок формирования муниципального задания </t>
  </si>
  <si>
    <t>Р25 МПА, устанавливающий порядок финансового обеспечения выполнения муниципального задания</t>
  </si>
  <si>
    <t>Р26 МПА, устанавливающий порядок разработки, утверждения и реализации ведомствен-ных целевых программ</t>
  </si>
  <si>
    <t>Р27 МПА, устанавливающий порядок проведения мониторинга качества управления финансами главных распорядителей бюджетных средств</t>
  </si>
  <si>
    <t xml:space="preserve">Р28 МПА, устанавливающий порядок проведения и критерии оценки эффективности реализации долгосрочных целевых программ </t>
  </si>
  <si>
    <t xml:space="preserve">Р29 МПА, содержащий порядок проведения публичных слушаний по проекту бюджета </t>
  </si>
  <si>
    <t>Р30 МПА, устанавливающий порядок оценки инвестиционных проектов</t>
  </si>
  <si>
    <t>Аi – наличие МПА, устанавливающего порядок проведения мониторинга качества управления финансами главных распорядителей бюджетных средств</t>
  </si>
  <si>
    <t xml:space="preserve">Аi – наличие МПА, содержащего порядок проведения публичных слушаний по проекту бюджета </t>
  </si>
  <si>
    <t>Аi – наличие МПА, устанавливающего порядок оценки инвестиционных проектов</t>
  </si>
  <si>
    <t xml:space="preserve">Аi- фактический размер  дефицита бюджета  </t>
  </si>
  <si>
    <t xml:space="preserve">Дi– фактический объем доходов бюджета </t>
  </si>
  <si>
    <t xml:space="preserve">Гi – фактический объем безвозмездных поступлений  </t>
  </si>
  <si>
    <t xml:space="preserve">Нi - фактическое поступление налоговых доходов по дополнительным нормативам отчислений </t>
  </si>
  <si>
    <t>Аi - фактический объем муниципального долга</t>
  </si>
  <si>
    <t>Нi - уточненный годовой план налоговых доходов по дополнительным нормативам отчислений</t>
  </si>
  <si>
    <t>Предельное значение индикатора</t>
  </si>
  <si>
    <t>≤0,05</t>
  </si>
  <si>
    <t>≤0,15</t>
  </si>
  <si>
    <t>≤0,5</t>
  </si>
  <si>
    <t>≤1,00</t>
  </si>
  <si>
    <t>Аi- фактический объем муниципального долга</t>
  </si>
  <si>
    <t>Bi – верхний предел муниципального долга , установленный решением о бюджете на соответствующий финансовый год</t>
  </si>
  <si>
    <t>Бальная оценка                   (1или 0)</t>
  </si>
  <si>
    <t>Аi- фактический объем расходов на обслуживание муниципального долга</t>
  </si>
  <si>
    <r>
      <t xml:space="preserve">Р4 Соблюдение требований статьи 111 Бюджетного кодекса Российской Федерации по предельному объему расходов  на обслуживание муниципального долга                                                                                                    </t>
    </r>
    <r>
      <rPr>
        <b/>
        <sz val="10"/>
        <color indexed="10"/>
        <rFont val="Times New Roman"/>
        <family val="1"/>
      </rPr>
      <t>за отчетный период</t>
    </r>
  </si>
  <si>
    <r>
      <t xml:space="preserve">Р5 Соблюдение требований статьи 106 Бюджетного кодекса Российской Федерации по предельному объему муниципальных заимствований                           </t>
    </r>
    <r>
      <rPr>
        <b/>
        <sz val="10"/>
        <color indexed="10"/>
        <rFont val="Times New Roman"/>
        <family val="1"/>
      </rPr>
      <t xml:space="preserve">                                         за отчетный период</t>
    </r>
  </si>
  <si>
    <t xml:space="preserve">Аi - уточненный план расходов на содержание органов местного самоуправления </t>
  </si>
  <si>
    <t>Б i – утвержденный Правительством области норматив формирования расходов на содержание органов местного самоуправления</t>
  </si>
  <si>
    <t xml:space="preserve">Аi – фактические расходы на оплату труда депутатов, выборных должностных лиц и муниципальных служащих органов местного самоуправления </t>
  </si>
  <si>
    <r>
      <t xml:space="preserve">Р7 Соблюдение установленных Правительством Кировской области нормативов формирования расходов на оплату труда  депутатов, выборных должностных лиц и муниципальных служащих органов местного самоуправления                                                                  </t>
    </r>
    <r>
      <rPr>
        <b/>
        <sz val="10"/>
        <color indexed="10"/>
        <rFont val="Times New Roman"/>
        <family val="1"/>
      </rPr>
      <t>за отчетный период</t>
    </r>
  </si>
  <si>
    <r>
      <t xml:space="preserve">Р6 Соблюдение установленных Правительством Кировской области нормативов формирования расходов на содержание органов местного самоуправления   </t>
    </r>
    <r>
      <rPr>
        <b/>
        <sz val="8"/>
        <color indexed="10"/>
        <rFont val="Times New Roman"/>
        <family val="1"/>
      </rPr>
      <t xml:space="preserve">  </t>
    </r>
    <r>
      <rPr>
        <b/>
        <sz val="10"/>
        <color indexed="10"/>
        <rFont val="Times New Roman"/>
        <family val="1"/>
      </rPr>
      <t>за отчетный период</t>
    </r>
  </si>
  <si>
    <t>≤5</t>
  </si>
  <si>
    <t>Аi - количество внесенных изменений в отчетном периоде  в решение о бюджете на соответствующий финансовый год</t>
  </si>
  <si>
    <r>
      <t xml:space="preserve">Р9 Отсутствие просроченной задолженности по исполнению долговых обязательств                                               </t>
    </r>
    <r>
      <rPr>
        <b/>
        <sz val="12"/>
        <color indexed="10"/>
        <rFont val="Times New Roman"/>
        <family val="1"/>
      </rPr>
      <t>за отчетный период</t>
    </r>
  </si>
  <si>
    <r>
      <t xml:space="preserve">Р10 Соотношение выплат по муниципальным гарантиям к общему объему предоставленных гарантий                                                            </t>
    </r>
    <r>
      <rPr>
        <b/>
        <sz val="8"/>
        <color indexed="10"/>
        <rFont val="Times New Roman"/>
        <family val="1"/>
      </rPr>
      <t>за отчетный период</t>
    </r>
  </si>
  <si>
    <t>Бi – объем  налоговых и неналоговых доходов  в соответствии с кассовым планом</t>
  </si>
  <si>
    <t>≤0</t>
  </si>
  <si>
    <t xml:space="preserve">Аi – уточненный план в соответствии с решением о бюджете на конец отчетного периода по налоговым и неналоговым доходам </t>
  </si>
  <si>
    <t>Бi – первоначальный план в соответствии с решением о бюджете на отчетный финансовый год по налоговым и неналоговым доходам</t>
  </si>
  <si>
    <t xml:space="preserve">Аi – объем фактически поступивших на конец отчетного периода налоговых и неналоговых доходов </t>
  </si>
  <si>
    <r>
      <t xml:space="preserve">Р14 Соотношение фактически поступивших в местные бюджеты налоговых и неналоговых доходов к показателям кассового плана  </t>
    </r>
    <r>
      <rPr>
        <b/>
        <sz val="8"/>
        <color indexed="10"/>
        <rFont val="Times New Roman"/>
        <family val="1"/>
      </rPr>
      <t>за отчетный период</t>
    </r>
  </si>
  <si>
    <t>А2i - уточненный план по налоговым и неналоговым доходам на конец года, предшествующего отчетному без учета поступлений налоговых доходов по дополнительным нормативам отчислений</t>
  </si>
  <si>
    <r>
      <t xml:space="preserve"> Р 18 Динамика удельного веса дебиторской задолженности к объему расходов бюджета                                      </t>
    </r>
    <r>
      <rPr>
        <b/>
        <sz val="8"/>
        <color indexed="10"/>
        <rFont val="Times New Roman"/>
        <family val="1"/>
      </rPr>
      <t>за отчетный год</t>
    </r>
  </si>
  <si>
    <t>В1i – фактический объем доходов бюджета за отчетный период текущего финансового года  без учета безвозмездных поступлений и налоговых доходов по дополнительным нормативам отчислений</t>
  </si>
  <si>
    <t xml:space="preserve">А1i – объем муниципального долга на конец
 отчетного периода текущего финансового года 
</t>
  </si>
  <si>
    <t>В2i – фактический объем доходов бюджета за соответствующий отчетный период прошедшего финансового года без учета безвозмездных поступлений и налоговых доходов по дополнительным нормативам отчислений</t>
  </si>
  <si>
    <t>А2i – объем муниципального долга на конец года, предшествующего отчетному</t>
  </si>
  <si>
    <t>Бi – исполнение бюджета по расходам на конец отчетного периода, за исключением расходов, осуществляемый за счет целевых межбюджетных трансфертов, предоставляемых из бюджетов другого уровня</t>
  </si>
  <si>
    <t>Аi – исполнение бюджета   по расходам, формируемым в рамках муниципальных целевых программ и ведомственных программ, на конец отчетного периода</t>
  </si>
  <si>
    <t>А1.i – уточненный план по налоговым и неналоговым доходам в соответствии с решением о бюджете на конец отчетного года без учета поступлений налоговых доходов по дополнительным нормативам отчислений</t>
  </si>
  <si>
    <t>Аi – наличие фактов использования средств не по целевому назначению Количество)</t>
  </si>
  <si>
    <t>Бальная оценка          (0;-1)</t>
  </si>
  <si>
    <t>Бальная оценка (0;1)</t>
  </si>
  <si>
    <r>
      <t xml:space="preserve">Р2 Соблюдение требований статьи 107 Бюджетного кодекса Российской Федерации по предельному объему муниципального долга            </t>
    </r>
    <r>
      <rPr>
        <sz val="10"/>
        <color indexed="10"/>
        <rFont val="Times New Roman"/>
        <family val="1"/>
      </rPr>
      <t xml:space="preserve">                                                                                      </t>
    </r>
    <r>
      <rPr>
        <b/>
        <sz val="10"/>
        <color indexed="10"/>
        <rFont val="Times New Roman"/>
        <family val="1"/>
      </rPr>
      <t>за отчетный период</t>
    </r>
  </si>
  <si>
    <r>
      <t xml:space="preserve">Р3 Соблюдение верхнего предела муниципального долга, установленного решением о бюджете на соответствующий финансовый год  </t>
    </r>
    <r>
      <rPr>
        <sz val="9"/>
        <color indexed="10"/>
        <rFont val="Times New Roman"/>
        <family val="1"/>
      </rPr>
      <t xml:space="preserve">                      </t>
    </r>
    <r>
      <rPr>
        <b/>
        <sz val="9"/>
        <color indexed="10"/>
        <rFont val="Times New Roman"/>
        <family val="1"/>
      </rPr>
      <t>за отчетный год</t>
    </r>
  </si>
  <si>
    <r>
      <t xml:space="preserve">Р8 Количество внесенных изменений  в решение о бюджете                                                                 </t>
    </r>
    <r>
      <rPr>
        <b/>
        <sz val="10"/>
        <color indexed="10"/>
        <rFont val="Times New Roman"/>
        <family val="1"/>
      </rPr>
      <t>за год</t>
    </r>
  </si>
  <si>
    <r>
      <t xml:space="preserve">Р12 Доля автономных учреждений в общем числе муниципальных учреждений                                                                       </t>
    </r>
    <r>
      <rPr>
        <b/>
        <sz val="8"/>
        <color indexed="10"/>
        <rFont val="Times New Roman"/>
        <family val="1"/>
      </rPr>
      <t>за отчетный период</t>
    </r>
  </si>
  <si>
    <r>
      <t xml:space="preserve">Р17 Наличие просроченной кредиторской задолженности                         </t>
    </r>
    <r>
      <rPr>
        <b/>
        <sz val="8"/>
        <color indexed="10"/>
        <rFont val="Times New Roman"/>
        <family val="1"/>
      </rPr>
      <t>за отчетный период</t>
    </r>
  </si>
  <si>
    <r>
      <t xml:space="preserve">Р19 Динамика долговой нагрузки бюджета                                                                                                            </t>
    </r>
    <r>
      <rPr>
        <b/>
        <sz val="8"/>
        <color indexed="10"/>
        <rFont val="Times New Roman"/>
        <family val="1"/>
      </rPr>
      <t>за отчетный период</t>
    </r>
  </si>
  <si>
    <r>
      <t xml:space="preserve">Р20 Наличие фактов использования средств не по целевому назначению                                                 </t>
    </r>
    <r>
      <rPr>
        <b/>
        <sz val="8"/>
        <color indexed="10"/>
        <rFont val="Times New Roman"/>
        <family val="1"/>
      </rPr>
      <t>за отчетный период</t>
    </r>
  </si>
  <si>
    <t>2 Знаменское с/п</t>
  </si>
  <si>
    <t>4 Кугушергское с/п</t>
  </si>
  <si>
    <t>9 Сердежское с/п</t>
  </si>
  <si>
    <t>10 Шкаланское с/п</t>
  </si>
  <si>
    <t>5 Никольское с/п</t>
  </si>
  <si>
    <t>6 Никулятское с/п</t>
  </si>
  <si>
    <t>7 Опытнопольское с/п</t>
  </si>
  <si>
    <t>8 Салобелякское с/п</t>
  </si>
  <si>
    <t>3 Кугальское с/п</t>
  </si>
  <si>
    <t>1 Городское поселение</t>
  </si>
  <si>
    <t>Бi – уточненный годовой план доходов бюджета на конец отчетного периода</t>
  </si>
  <si>
    <t>Bi – уточненный годовой план безвозмездных поступлений на конец отчетного периода</t>
  </si>
  <si>
    <t>Б i –фактический  объем расходов бюджета поселения</t>
  </si>
  <si>
    <t>Аi- фактический объем заимствований i-го поселения в отчетном периоде</t>
  </si>
  <si>
    <t>Бi – размер дефицита местного бюджета на конец отчетного периода i-го поселения</t>
  </si>
  <si>
    <t>Аi – просроченная задолженность по ценным бумагам i-го поселения на конец отчетного периода</t>
  </si>
  <si>
    <t>Бi - просроченная задолженность по бюджетным кредитам, привлеченным в местный бюджет i-м поселениям, на конец отчетного периода;</t>
  </si>
  <si>
    <t>Bi - просроченная задолженность по кредитам, полученным i-м поселением от кредитных организаций, на конец отчетного периода;</t>
  </si>
  <si>
    <t>Дi - просроченная задолженность по гарантиям i-го поселения на конец отчетного периода</t>
  </si>
  <si>
    <t>Аi – фактический объем выплат по муниципальным гарантиям в i-м поселении на конец отчетного периода</t>
  </si>
  <si>
    <t>Бi – фактический объем предоставленных  муниципальных гарантий в i- поселении на конец отчетного периода</t>
  </si>
  <si>
    <r>
      <t xml:space="preserve">Р11 Удельный вес расходов бюджета, формируемых в рамках программ, в общем объеме расходов бюджета поселения                                                                              </t>
    </r>
    <r>
      <rPr>
        <b/>
        <sz val="8"/>
        <color indexed="10"/>
        <rFont val="Times New Roman"/>
        <family val="1"/>
      </rPr>
      <t>за отчетный период</t>
    </r>
  </si>
  <si>
    <t>Аi – количество автономных учреждений в i-м поселении на конец отчетного периода</t>
  </si>
  <si>
    <t>Бi – количество муниципальных учреждений в  i-м поселении на конец отчетного периода</t>
  </si>
  <si>
    <r>
      <t xml:space="preserve">Р13 Отношение показателей уточненного плана по налоговым и неналоговым доходам поселения   к показателям первоначального плана                                </t>
    </r>
    <r>
      <rPr>
        <b/>
        <sz val="8"/>
        <color indexed="10"/>
        <rFont val="Times New Roman"/>
        <family val="1"/>
      </rPr>
      <t>за отчетный период</t>
    </r>
  </si>
  <si>
    <t>Р15 Динамика соотношения объема налоговых и неналоговых доходов бюджета поселения к объему дотации на выравнивание бюджетной обеспеченности и дотации на поддержку мер по обеспечению сбалансированности бюджетов поселений</t>
  </si>
  <si>
    <t>В1i – уточненный план по дотации на выравнивание бюджетной обеспеченности, дотации на поддержку мер по обеспечению сбалансированности бюджетов поселений, поступлений налоговых доходов по дополнительным нормативам отчислений  на конец отчетного года</t>
  </si>
  <si>
    <t>В 2i - уточненный план по дотации на выравнивание бюджетной обеспеченности,  дотации на поддержку мер по обеспечению сбалансированности бюджетов поселений, поступлений налоговых доходов по дополнительным нормативам отчислений на конец года, предшествующего отчетному</t>
  </si>
  <si>
    <r>
      <t xml:space="preserve">Р16 Отклонение расходов бюджета в IV квартале от среднего объема расходов за I-Ш кварталы, без учета расходов,
произведенных за счет целевых средств, поступивших из районного бюджета                                                                                                    </t>
    </r>
    <r>
      <rPr>
        <sz val="8"/>
        <color indexed="10"/>
        <rFont val="Times New Roman"/>
        <family val="1"/>
      </rPr>
      <t>з</t>
    </r>
    <r>
      <rPr>
        <b/>
        <sz val="8"/>
        <color indexed="10"/>
        <rFont val="Times New Roman"/>
        <family val="1"/>
      </rPr>
      <t>а отчетный год</t>
    </r>
    <r>
      <rPr>
        <sz val="8"/>
        <rFont val="Times New Roman"/>
        <family val="1"/>
      </rPr>
      <t xml:space="preserve">
</t>
    </r>
  </si>
  <si>
    <t>А4i  - исполнение по расходам i-го поселения в IV квартале текущего финансового года без учета расходов, произведенных за счет целевых средств, поступивших из районного бюджета</t>
  </si>
  <si>
    <t>А1i  - исполнение по расходам i-го поселения в I квартале текущего финансового года без учета расходов, произведенных за счет целевых средств, поступивших из районного бюджета</t>
  </si>
  <si>
    <t>А2i - исполнение по расходам i-го поселения во II квартале текущего финансового года без учета расходов, произведенных за счет целевых средств, поступивших из районого бюджета</t>
  </si>
  <si>
    <t>А3i  - исполнение по расходам i-го поселения в III квартале текущего финансового года без учета расходов, произведенных за счет целевых средств, поступивших израйонного бюджета</t>
  </si>
  <si>
    <t>Аi – объем просроченной кредиторской задолженности в i-м поселении на конец отчетного периода</t>
  </si>
  <si>
    <t>Р21 Размещение в средствах массовой информации и (или) на официальном сайте администрации (информационном стенде) проекта местного бюджета, решения об утверждении местного бюджета, годового отчета о его исполнении, ежеквартальных сведений о ходе исполнения местного бюджета и о численности муниципальных служащих органов местного самоуправ-ления, работников муниципальных учреж-дений с указанием фактических затрат на их денежное содержание</t>
  </si>
  <si>
    <t>Р 22 Наличие фактов нарушения бюджетного законодательства в течение финансового года</t>
  </si>
  <si>
    <t>Аi – наличие фактов использования средств не по целевому назначению</t>
  </si>
  <si>
    <t>Бальная оценка (0;-1)</t>
  </si>
  <si>
    <t>А1i – объем дебиторской задолженности на конец отчетного года в i-м поселении</t>
  </si>
  <si>
    <t>В1i – фактический объем расходов бюджета за отчетный год в i-м поселении</t>
  </si>
  <si>
    <t>А2i – объем дебиторской задолженности на конец года, предшествующего отчетному, в   i-м поселении</t>
  </si>
  <si>
    <t>В2i – фактический объем расходов бюджета за год, предшествующий отчетному, в i-м поселении</t>
  </si>
  <si>
    <r>
      <t xml:space="preserve">Р 1 "Соблюдение требований статьи 92.1 Бюджетного кодекса Российской Федерации по предельному объему дефицита бюджета поселения"                                                                                                                                                                    </t>
    </r>
    <r>
      <rPr>
        <b/>
        <sz val="10"/>
        <color indexed="10"/>
        <rFont val="Times New Roman"/>
        <family val="1"/>
      </rPr>
      <t>за отчетный период</t>
    </r>
  </si>
  <si>
    <t>Поселения ИТОГО:</t>
  </si>
  <si>
    <t>Исполнитель:</t>
  </si>
  <si>
    <t>8-833-67-2-26-97</t>
  </si>
  <si>
    <t>Ястребкова Т.Н.</t>
  </si>
  <si>
    <t>Бальная оценка (1=0,7-1,3 0,5=0,5-0,7    1,3-1,5   0=&lt;0,5&gt;1,5</t>
  </si>
  <si>
    <t>Бальная оценка      (-1&gt;0)</t>
  </si>
  <si>
    <t>Бальная оценка  (1&lt;=1 ;  0&gt;1)</t>
  </si>
  <si>
    <t>Бальная оценка (1=&lt;1 ; 0&gt;=1)</t>
  </si>
  <si>
    <t>Общие баллы</t>
  </si>
  <si>
    <t>Наименование поселения</t>
  </si>
  <si>
    <t>Приложение №2 к Порядку</t>
  </si>
  <si>
    <t xml:space="preserve">утвержденному решением Думы </t>
  </si>
  <si>
    <t>Л.Г. Поломкина</t>
  </si>
  <si>
    <t>Bi – фактический объем расходов поселения, осуществляемый за счет субвенций, предоставляемых из бюджетов другого уровня,</t>
  </si>
  <si>
    <t xml:space="preserve">Начальник бюджетного отдела </t>
  </si>
  <si>
    <t xml:space="preserve">Bi – сумма, направляемая в отчетном периоде на погашение долговых обязательств поселения </t>
  </si>
  <si>
    <t>≤6</t>
  </si>
  <si>
    <t xml:space="preserve">Аi – наличие МПА, устанавливающего порядок проведения и критерии оценки эффективности реализации долгосрочных целевых программ </t>
  </si>
  <si>
    <t>≤0,1</t>
  </si>
  <si>
    <t>Расчет целевого значения индикатора  Аi/(Дi-Гi-Рi)</t>
  </si>
  <si>
    <t>Бальная оценка          1 если &lt;=0,1(0,05);  0 если &gt;0,1 (0,05)</t>
  </si>
  <si>
    <t>Расчет целевого значения индикатора   Аi/(Бi-Вi-Нi)</t>
  </si>
  <si>
    <t>Расчет целевого значения индикатора  Аi/Вi</t>
  </si>
  <si>
    <t>Бальная оценка                  1 если &lt;=1;   0   если&gt;1</t>
  </si>
  <si>
    <t>Бальная оценка    1 если &lt;=1;    0 если&gt;1</t>
  </si>
  <si>
    <t>Расчет целевого значения индикатора   Аi/(Бi-Вi)</t>
  </si>
  <si>
    <t xml:space="preserve">Бальная оценка          1  если &lt;=0,15;   0 если &gt;0,15  </t>
  </si>
  <si>
    <t>Бальная оценка                  1 если &lt;=1; 0 если &gt;1</t>
  </si>
  <si>
    <t>Расчет целевого значения индикатора    Аi/(Бi+Вi)</t>
  </si>
  <si>
    <t>Расчет целевого значения индикатора  Аi/Бi</t>
  </si>
  <si>
    <t>Бальная оценка                  1 если &lt;=1;  0 если &gt;1</t>
  </si>
  <si>
    <t>Расчет целевого значения индикатора    Аi/Бi</t>
  </si>
  <si>
    <t>Бальная оценка                   1 если &lt;=1; 0 если &gt;1</t>
  </si>
  <si>
    <t>Расчет целевого значения индикатора     Аi+Бi+Вi+Дi</t>
  </si>
  <si>
    <t xml:space="preserve">Бальная оценка             -1 если &gt;0,     </t>
  </si>
  <si>
    <t>Расчет целевого значения индикатора              Аi/Бi</t>
  </si>
  <si>
    <t>Бальная оценка                   1 если=0;    0 если &gt;0</t>
  </si>
  <si>
    <t>Расчет целевого значения индикатора     Аi/Бi</t>
  </si>
  <si>
    <t xml:space="preserve">Бальная оценка                5 если =0,6;      2  если &gt;=0,3&lt;0,6;         -1 если &lt;0,3      </t>
  </si>
  <si>
    <t>Бальная оценка                   (1 если &gt;=0,05&lt;0,1; 2 если =0,1; -1 если &lt;0,05)</t>
  </si>
  <si>
    <t>Бальная оценка                                                              1 если &gt;=0,95&lt;=1,05;      0,5 если &gt;=0,85&lt;0,95, &gt;1,05&lt;=1,15;       0 если   &lt;0,85&gt; 1,15</t>
  </si>
  <si>
    <t>Бальная оценка           (1 если &gt;=0,98&lt;=1,02;  0  если &lt;0,98&gt;1,02</t>
  </si>
  <si>
    <t>Расчет целевого значения индикатора     (А1i:В1i) / (А2i:В2i)</t>
  </si>
  <si>
    <t>Бальная оценка  (1 если &gt;=1;  0 если &lt;1)</t>
  </si>
  <si>
    <t>Расчет целевого значения индикатора   А4i / ((А1i+А2i+А3i) / 3)</t>
  </si>
  <si>
    <t>Бальная оценка (1 если &gt;=0,7&lt;=1,3;      0,5 если &gt;=0,5&lt;0,7    &gt;1,3&lt;=1,5;    0 если &lt; 0,5&gt;1,5</t>
  </si>
  <si>
    <t>Бальная оценка         (-1&gt;0)</t>
  </si>
  <si>
    <t>Расчет целевого значения индикатора   (А1i:В1i) / (А2i:В2i)</t>
  </si>
  <si>
    <t>Бальная оценка  (1  если &lt;=1 ;  0 если &gt;1)</t>
  </si>
  <si>
    <t>Расчет целевого значения индикатора    (А1i:В1i) / (А2i:В2i)</t>
  </si>
  <si>
    <t>Бальная оценка (1 если&lt;1 ; 0 если &gt;=1)</t>
  </si>
  <si>
    <t>Бальная оценка          (0;-1 если &gt;0)</t>
  </si>
  <si>
    <t>Расчет целевого значения индикатора     Пi+Бi+Оi+Сi+Чi</t>
  </si>
  <si>
    <t>Бальная оценка (0 если &lt;4; 1 если &gt;=4)</t>
  </si>
  <si>
    <t>Бальная оценка (0;  -1  если&gt;0)</t>
  </si>
  <si>
    <t>Мониторинг оценки  качества организации и осуществления бюджетного процесса поселений Яранского районапо итогам исполнения  бюджетов поселений в 2010  году</t>
  </si>
  <si>
    <t>от         №</t>
  </si>
  <si>
    <t>от  28.05.2010 г.    № 373</t>
  </si>
  <si>
    <t>Мониторинг оценки  качества организации и осуществления бюджетного процесса поселений Яранского района за 2010 год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</si>
</sst>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.0000"/>
    <numFmt numFmtId="171" formatCode="0.000"/>
    <numFmt numFmtId="172" formatCode="0.00000"/>
    <numFmt numFmtId="173" formatCode="#,##0.000"/>
    <numFmt numFmtId="174" formatCode="[$-FC19]d\ mmmm\ yyyy\ &quot;г.&quot;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sz val="10"/>
      <color indexed="8"/>
      <name val="Arial Cyr"/>
      <family val="0"/>
    </font>
    <font>
      <sz val="8"/>
      <color indexed="8"/>
      <name val="Times New Roman"/>
      <family val="1"/>
    </font>
    <font>
      <b/>
      <sz val="10"/>
      <color indexed="8"/>
      <name val="Arial Cyr"/>
      <family val="0"/>
    </font>
    <font>
      <sz val="8"/>
      <name val="Arial Cyr"/>
      <family val="0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0"/>
      <name val="Arial CYR"/>
      <family val="0"/>
    </font>
    <font>
      <sz val="11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29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6" fillId="0" borderId="12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4" fillId="0" borderId="12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2" fontId="4" fillId="0" borderId="11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4" fontId="0" fillId="0" borderId="10" xfId="0" applyNumberForma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71" fontId="2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68" fontId="2" fillId="0" borderId="0" xfId="0" applyNumberFormat="1" applyFont="1" applyFill="1" applyAlignment="1">
      <alignment/>
    </xf>
    <xf numFmtId="170" fontId="2" fillId="0" borderId="0" xfId="0" applyNumberFormat="1" applyFont="1" applyFill="1" applyAlignment="1">
      <alignment/>
    </xf>
    <xf numFmtId="171" fontId="4" fillId="0" borderId="11" xfId="0" applyNumberFormat="1" applyFont="1" applyFill="1" applyBorder="1" applyAlignment="1">
      <alignment horizontal="center" vertical="top" wrapText="1"/>
    </xf>
    <xf numFmtId="171" fontId="4" fillId="0" borderId="12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top"/>
    </xf>
    <xf numFmtId="2" fontId="0" fillId="0" borderId="13" xfId="0" applyNumberForma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71" fontId="0" fillId="0" borderId="10" xfId="0" applyNumberFormat="1" applyFill="1" applyBorder="1" applyAlignment="1">
      <alignment horizontal="center"/>
    </xf>
    <xf numFmtId="168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4" fontId="0" fillId="0" borderId="0" xfId="0" applyNumberFormat="1" applyFill="1" applyAlignment="1">
      <alignment/>
    </xf>
    <xf numFmtId="171" fontId="0" fillId="0" borderId="0" xfId="0" applyNumberFormat="1" applyFill="1" applyAlignment="1">
      <alignment/>
    </xf>
    <xf numFmtId="0" fontId="5" fillId="0" borderId="0" xfId="0" applyFont="1" applyFill="1" applyAlignment="1">
      <alignment/>
    </xf>
    <xf numFmtId="168" fontId="0" fillId="0" borderId="0" xfId="0" applyNumberFormat="1" applyFill="1" applyAlignment="1">
      <alignment/>
    </xf>
    <xf numFmtId="170" fontId="0" fillId="0" borderId="0" xfId="0" applyNumberFormat="1" applyFill="1" applyAlignment="1">
      <alignment/>
    </xf>
    <xf numFmtId="0" fontId="0" fillId="0" borderId="0" xfId="0" applyFill="1" applyBorder="1" applyAlignment="1">
      <alignment horizontal="right" wrapText="1"/>
    </xf>
    <xf numFmtId="0" fontId="4" fillId="0" borderId="10" xfId="0" applyFont="1" applyFill="1" applyBorder="1" applyAlignment="1">
      <alignment vertical="top" wrapText="1"/>
    </xf>
    <xf numFmtId="2" fontId="0" fillId="0" borderId="0" xfId="0" applyNumberFormat="1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1" fillId="0" borderId="0" xfId="0" applyFont="1" applyFill="1" applyAlignment="1">
      <alignment/>
    </xf>
    <xf numFmtId="2" fontId="2" fillId="0" borderId="13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/>
    </xf>
    <xf numFmtId="1" fontId="4" fillId="0" borderId="12" xfId="0" applyNumberFormat="1" applyFont="1" applyFill="1" applyBorder="1" applyAlignment="1">
      <alignment horizontal="center" vertical="top" wrapText="1"/>
    </xf>
    <xf numFmtId="1" fontId="0" fillId="0" borderId="10" xfId="0" applyNumberFormat="1" applyFill="1" applyBorder="1" applyAlignment="1">
      <alignment horizontal="center"/>
    </xf>
    <xf numFmtId="1" fontId="0" fillId="0" borderId="0" xfId="0" applyNumberFormat="1" applyFill="1" applyAlignment="1">
      <alignment/>
    </xf>
    <xf numFmtId="171" fontId="0" fillId="0" borderId="0" xfId="0" applyNumberFormat="1" applyFont="1" applyFill="1" applyAlignment="1">
      <alignment horizontal="center"/>
    </xf>
    <xf numFmtId="171" fontId="0" fillId="0" borderId="0" xfId="0" applyNumberFormat="1" applyFont="1" applyFill="1" applyAlignment="1">
      <alignment horizontal="center"/>
    </xf>
    <xf numFmtId="0" fontId="2" fillId="7" borderId="1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71" fontId="0" fillId="0" borderId="0" xfId="0" applyNumberFormat="1" applyFont="1" applyFill="1" applyBorder="1" applyAlignment="1">
      <alignment horizontal="center"/>
    </xf>
    <xf numFmtId="171" fontId="2" fillId="24" borderId="13" xfId="0" applyNumberFormat="1" applyFont="1" applyFill="1" applyBorder="1" applyAlignment="1">
      <alignment horizontal="center"/>
    </xf>
    <xf numFmtId="171" fontId="0" fillId="24" borderId="10" xfId="0" applyNumberFormat="1" applyFont="1" applyFill="1" applyBorder="1" applyAlignment="1">
      <alignment horizontal="center"/>
    </xf>
    <xf numFmtId="171" fontId="0" fillId="0" borderId="0" xfId="0" applyNumberFormat="1" applyFont="1" applyFill="1" applyBorder="1" applyAlignment="1">
      <alignment horizontal="center"/>
    </xf>
    <xf numFmtId="171" fontId="0" fillId="24" borderId="10" xfId="0" applyNumberFormat="1" applyFill="1" applyBorder="1" applyAlignment="1">
      <alignment horizontal="center"/>
    </xf>
    <xf numFmtId="171" fontId="0" fillId="24" borderId="10" xfId="0" applyNumberFormat="1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0" fillId="7" borderId="10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168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2" fontId="0" fillId="24" borderId="10" xfId="0" applyNumberFormat="1" applyFont="1" applyFill="1" applyBorder="1" applyAlignment="1">
      <alignment horizontal="center"/>
    </xf>
    <xf numFmtId="2" fontId="0" fillId="24" borderId="10" xfId="0" applyNumberFormat="1" applyFont="1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169" fontId="0" fillId="24" borderId="10" xfId="0" applyNumberForma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2" fillId="24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34" fillId="0" borderId="0" xfId="0" applyFont="1" applyFill="1" applyAlignment="1">
      <alignment vertical="center"/>
    </xf>
    <xf numFmtId="1" fontId="2" fillId="7" borderId="13" xfId="0" applyNumberFormat="1" applyFont="1" applyFill="1" applyBorder="1" applyAlignment="1">
      <alignment horizontal="center"/>
    </xf>
    <xf numFmtId="169" fontId="0" fillId="0" borderId="10" xfId="0" applyNumberFormat="1" applyFill="1" applyBorder="1" applyAlignment="1">
      <alignment horizontal="center"/>
    </xf>
    <xf numFmtId="169" fontId="0" fillId="0" borderId="10" xfId="0" applyNumberFormat="1" applyFont="1" applyFill="1" applyBorder="1" applyAlignment="1">
      <alignment horizontal="center"/>
    </xf>
    <xf numFmtId="169" fontId="0" fillId="0" borderId="0" xfId="0" applyNumberFormat="1" applyFill="1" applyAlignment="1">
      <alignment horizontal="center"/>
    </xf>
    <xf numFmtId="168" fontId="0" fillId="0" borderId="13" xfId="0" applyNumberFormat="1" applyFill="1" applyBorder="1" applyAlignment="1">
      <alignment horizontal="center"/>
    </xf>
    <xf numFmtId="168" fontId="0" fillId="0" borderId="13" xfId="0" applyNumberFormat="1" applyFont="1" applyFill="1" applyBorder="1" applyAlignment="1">
      <alignment horizontal="center"/>
    </xf>
    <xf numFmtId="168" fontId="0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168" fontId="4" fillId="0" borderId="12" xfId="0" applyNumberFormat="1" applyFont="1" applyFill="1" applyBorder="1" applyAlignment="1">
      <alignment horizontal="center" vertical="top" wrapText="1"/>
    </xf>
    <xf numFmtId="0" fontId="37" fillId="0" borderId="0" xfId="0" applyFont="1" applyFill="1" applyBorder="1" applyAlignment="1">
      <alignment/>
    </xf>
    <xf numFmtId="0" fontId="38" fillId="0" borderId="0" xfId="0" applyFont="1" applyFill="1" applyAlignment="1">
      <alignment/>
    </xf>
    <xf numFmtId="0" fontId="2" fillId="7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71" fontId="0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0" fontId="4" fillId="0" borderId="0" xfId="0" applyFont="1" applyFill="1" applyBorder="1" applyAlignment="1">
      <alignment vertical="top"/>
    </xf>
    <xf numFmtId="0" fontId="4" fillId="0" borderId="14" xfId="0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right"/>
    </xf>
    <xf numFmtId="168" fontId="0" fillId="0" borderId="15" xfId="0" applyNumberFormat="1" applyFill="1" applyBorder="1" applyAlignment="1">
      <alignment horizontal="center"/>
    </xf>
    <xf numFmtId="4" fontId="0" fillId="0" borderId="15" xfId="0" applyNumberFormat="1" applyFill="1" applyBorder="1" applyAlignment="1">
      <alignment horizontal="center"/>
    </xf>
    <xf numFmtId="4" fontId="0" fillId="0" borderId="15" xfId="0" applyNumberFormat="1" applyFont="1" applyFill="1" applyBorder="1" applyAlignment="1">
      <alignment horizontal="center"/>
    </xf>
    <xf numFmtId="171" fontId="0" fillId="24" borderId="13" xfId="0" applyNumberFormat="1" applyFill="1" applyBorder="1" applyAlignment="1">
      <alignment horizontal="center"/>
    </xf>
    <xf numFmtId="171" fontId="0" fillId="24" borderId="13" xfId="0" applyNumberFormat="1" applyFont="1" applyFill="1" applyBorder="1" applyAlignment="1">
      <alignment horizontal="center"/>
    </xf>
    <xf numFmtId="0" fontId="39" fillId="0" borderId="10" xfId="0" applyFont="1" applyBorder="1" applyAlignment="1">
      <alignment horizontal="center" vertical="top"/>
    </xf>
    <xf numFmtId="3" fontId="39" fillId="0" borderId="10" xfId="0" applyNumberFormat="1" applyFont="1" applyBorder="1" applyAlignment="1">
      <alignment horizontal="center" vertical="top"/>
    </xf>
    <xf numFmtId="169" fontId="0" fillId="0" borderId="10" xfId="0" applyNumberFormat="1" applyFill="1" applyBorder="1" applyAlignment="1">
      <alignment/>
    </xf>
    <xf numFmtId="169" fontId="0" fillId="7" borderId="1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169" fontId="0" fillId="25" borderId="10" xfId="0" applyNumberFormat="1" applyFill="1" applyBorder="1" applyAlignment="1">
      <alignment/>
    </xf>
    <xf numFmtId="169" fontId="0" fillId="7" borderId="10" xfId="0" applyNumberFormat="1" applyFont="1" applyFill="1" applyBorder="1" applyAlignment="1">
      <alignment/>
    </xf>
    <xf numFmtId="169" fontId="0" fillId="7" borderId="10" xfId="0" applyNumberFormat="1" applyFill="1" applyBorder="1" applyAlignment="1">
      <alignment/>
    </xf>
    <xf numFmtId="169" fontId="0" fillId="17" borderId="10" xfId="0" applyNumberForma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69" fontId="40" fillId="0" borderId="10" xfId="0" applyNumberFormat="1" applyFont="1" applyFill="1" applyBorder="1" applyAlignment="1">
      <alignment horizontal="center"/>
    </xf>
    <xf numFmtId="169" fontId="0" fillId="0" borderId="10" xfId="0" applyNumberFormat="1" applyFont="1" applyFill="1" applyBorder="1" applyAlignment="1">
      <alignment/>
    </xf>
    <xf numFmtId="171" fontId="2" fillId="24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15" xfId="0" applyNumberFormat="1" applyFont="1" applyFill="1" applyBorder="1" applyAlignment="1">
      <alignment horizontal="justify"/>
    </xf>
    <xf numFmtId="0" fontId="4" fillId="0" borderId="16" xfId="0" applyNumberFormat="1" applyFont="1" applyFill="1" applyBorder="1" applyAlignment="1">
      <alignment horizontal="justify"/>
    </xf>
    <xf numFmtId="0" fontId="4" fillId="0" borderId="13" xfId="0" applyNumberFormat="1" applyFont="1" applyFill="1" applyBorder="1" applyAlignment="1">
      <alignment horizontal="justify"/>
    </xf>
    <xf numFmtId="0" fontId="4" fillId="0" borderId="11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0" fillId="0" borderId="18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V54"/>
  <sheetViews>
    <sheetView tabSelected="1" workbookViewId="0" topLeftCell="A1">
      <pane xSplit="1" topLeftCell="B1" activePane="topRight" state="frozen"/>
      <selection pane="topLeft" activeCell="A8" sqref="A8"/>
      <selection pane="topRight" activeCell="E35" sqref="E35"/>
    </sheetView>
  </sheetViews>
  <sheetFormatPr defaultColWidth="9.00390625" defaultRowHeight="12.75"/>
  <cols>
    <col min="1" max="1" width="23.75390625" style="0" customWidth="1"/>
    <col min="2" max="2" width="10.125" style="0" bestFit="1" customWidth="1"/>
    <col min="50" max="50" width="9.75390625" style="0" customWidth="1"/>
    <col min="61" max="61" width="11.375" style="0" customWidth="1"/>
    <col min="65" max="65" width="9.875" style="0" customWidth="1"/>
    <col min="69" max="69" width="13.375" style="0" customWidth="1"/>
    <col min="73" max="73" width="10.875" style="0" customWidth="1"/>
    <col min="89" max="89" width="11.375" style="0" customWidth="1"/>
    <col min="98" max="98" width="9.375" style="0" customWidth="1"/>
  </cols>
  <sheetData>
    <row r="1" spans="1:100" s="4" customFormat="1" ht="18.75" customHeight="1" hidden="1">
      <c r="A1" s="7"/>
      <c r="E1" s="13"/>
      <c r="F1" s="34"/>
      <c r="G1" s="13"/>
      <c r="H1" s="32"/>
      <c r="K1" s="34"/>
      <c r="L1" s="32"/>
      <c r="M1" s="87"/>
      <c r="N1" s="88" t="s">
        <v>127</v>
      </c>
      <c r="O1" s="32"/>
      <c r="R1" s="34"/>
      <c r="S1" s="13"/>
      <c r="T1" s="32"/>
      <c r="U1" s="35"/>
      <c r="X1" s="34"/>
      <c r="Z1" s="34"/>
      <c r="AA1" s="7"/>
      <c r="AB1" s="36"/>
      <c r="AD1" s="34"/>
      <c r="AE1" s="37"/>
      <c r="AF1" s="32"/>
      <c r="AI1" s="34"/>
      <c r="AN1" s="10"/>
      <c r="AO1" s="32"/>
      <c r="AP1" s="32"/>
      <c r="AQ1" s="48"/>
      <c r="AZ1" s="32"/>
      <c r="BD1" s="43"/>
      <c r="BE1" s="13"/>
      <c r="BH1" s="34"/>
      <c r="BL1" s="34"/>
      <c r="BM1" s="32"/>
      <c r="BP1" s="34"/>
      <c r="BQ1" s="32"/>
      <c r="BS1" s="32"/>
      <c r="BT1" s="34"/>
      <c r="BW1" s="32"/>
      <c r="BZ1" s="34"/>
      <c r="CA1" s="6"/>
      <c r="CD1" s="34"/>
      <c r="CE1" s="32"/>
      <c r="CF1" s="32"/>
      <c r="CG1" s="32"/>
      <c r="CM1" s="32"/>
      <c r="CN1" s="32"/>
      <c r="CO1" s="32"/>
      <c r="CQ1" s="36"/>
      <c r="CR1" s="36"/>
      <c r="CS1" s="36"/>
      <c r="CT1" s="34"/>
      <c r="CV1" s="48"/>
    </row>
    <row r="2" spans="1:100" s="4" customFormat="1" ht="12.75" hidden="1">
      <c r="A2" s="7"/>
      <c r="E2" s="13"/>
      <c r="F2" s="34"/>
      <c r="G2" s="13"/>
      <c r="H2" s="32"/>
      <c r="K2" s="34"/>
      <c r="L2" s="32"/>
      <c r="M2" s="50"/>
      <c r="N2" s="89" t="s">
        <v>128</v>
      </c>
      <c r="O2" s="32"/>
      <c r="R2" s="34"/>
      <c r="S2" s="13"/>
      <c r="T2" s="32"/>
      <c r="U2" s="35"/>
      <c r="X2" s="34"/>
      <c r="Z2" s="34"/>
      <c r="AA2" s="7"/>
      <c r="AB2" s="36"/>
      <c r="AD2" s="34"/>
      <c r="AE2" s="37"/>
      <c r="AF2" s="32"/>
      <c r="AI2" s="34"/>
      <c r="AN2" s="10"/>
      <c r="AO2" s="32"/>
      <c r="AP2" s="32"/>
      <c r="AQ2" s="48"/>
      <c r="AZ2" s="32"/>
      <c r="BD2" s="43"/>
      <c r="BE2" s="13"/>
      <c r="BH2" s="34"/>
      <c r="BL2" s="34"/>
      <c r="BM2" s="32"/>
      <c r="BP2" s="34"/>
      <c r="BQ2" s="32"/>
      <c r="BS2" s="32"/>
      <c r="BT2" s="34"/>
      <c r="BW2" s="32"/>
      <c r="BZ2" s="34"/>
      <c r="CA2" s="6"/>
      <c r="CD2" s="34"/>
      <c r="CE2" s="32"/>
      <c r="CF2" s="32"/>
      <c r="CG2" s="32"/>
      <c r="CM2" s="32"/>
      <c r="CN2" s="32"/>
      <c r="CO2" s="32"/>
      <c r="CQ2" s="36"/>
      <c r="CR2" s="36"/>
      <c r="CS2" s="36"/>
      <c r="CT2" s="34"/>
      <c r="CV2" s="48"/>
    </row>
    <row r="3" spans="1:100" s="4" customFormat="1" ht="12.75" hidden="1">
      <c r="A3" s="7"/>
      <c r="E3" s="13"/>
      <c r="F3" s="34"/>
      <c r="G3" s="13"/>
      <c r="H3" s="32"/>
      <c r="K3" s="34"/>
      <c r="L3" s="32"/>
      <c r="M3" s="50"/>
      <c r="N3" s="89" t="s">
        <v>173</v>
      </c>
      <c r="O3" s="32"/>
      <c r="R3" s="34"/>
      <c r="S3" s="13"/>
      <c r="T3" s="32"/>
      <c r="U3" s="35"/>
      <c r="X3" s="34"/>
      <c r="Z3" s="34"/>
      <c r="AA3" s="7"/>
      <c r="AB3" s="36"/>
      <c r="AD3" s="34"/>
      <c r="AE3" s="37"/>
      <c r="AF3" s="32"/>
      <c r="AI3" s="34"/>
      <c r="AN3" s="10"/>
      <c r="AO3" s="32"/>
      <c r="AP3" s="32"/>
      <c r="AQ3" s="48"/>
      <c r="AZ3" s="32"/>
      <c r="BD3" s="43"/>
      <c r="BE3" s="13"/>
      <c r="BH3" s="34"/>
      <c r="BL3" s="34"/>
      <c r="BM3" s="32"/>
      <c r="BP3" s="34"/>
      <c r="BQ3" s="32"/>
      <c r="BS3" s="32"/>
      <c r="BT3" s="34"/>
      <c r="BW3" s="32"/>
      <c r="BZ3" s="34"/>
      <c r="CA3" s="6"/>
      <c r="CD3" s="34"/>
      <c r="CE3" s="32"/>
      <c r="CF3" s="32"/>
      <c r="CG3" s="32"/>
      <c r="CM3" s="32"/>
      <c r="CN3" s="32"/>
      <c r="CO3" s="32"/>
      <c r="CQ3" s="36"/>
      <c r="CR3" s="36"/>
      <c r="CS3" s="36"/>
      <c r="CT3" s="34"/>
      <c r="CV3" s="48"/>
    </row>
    <row r="4" spans="1:100" s="4" customFormat="1" ht="12.75" hidden="1">
      <c r="A4" s="7"/>
      <c r="E4" s="13"/>
      <c r="F4" s="34"/>
      <c r="G4" s="13"/>
      <c r="H4" s="32"/>
      <c r="K4" s="34"/>
      <c r="L4" s="32"/>
      <c r="M4" s="50"/>
      <c r="N4" s="32"/>
      <c r="O4" s="32"/>
      <c r="R4" s="34"/>
      <c r="S4" s="13"/>
      <c r="T4" s="32"/>
      <c r="U4" s="35"/>
      <c r="X4" s="34"/>
      <c r="Z4" s="34"/>
      <c r="AA4" s="7"/>
      <c r="AB4" s="36"/>
      <c r="AD4" s="34"/>
      <c r="AE4" s="37"/>
      <c r="AF4" s="32"/>
      <c r="AI4" s="34"/>
      <c r="AN4" s="10"/>
      <c r="AO4" s="32"/>
      <c r="AP4" s="32"/>
      <c r="AQ4" s="48"/>
      <c r="AZ4" s="32"/>
      <c r="BD4" s="43"/>
      <c r="BE4" s="13"/>
      <c r="BH4" s="34"/>
      <c r="BL4" s="34"/>
      <c r="BM4" s="32"/>
      <c r="BP4" s="34"/>
      <c r="BQ4" s="32"/>
      <c r="BS4" s="32"/>
      <c r="BT4" s="34"/>
      <c r="BW4" s="32"/>
      <c r="BZ4" s="34"/>
      <c r="CA4" s="6"/>
      <c r="CD4" s="34"/>
      <c r="CE4" s="32"/>
      <c r="CF4" s="32"/>
      <c r="CG4" s="32"/>
      <c r="CM4" s="32"/>
      <c r="CN4" s="32"/>
      <c r="CO4" s="32"/>
      <c r="CQ4" s="36"/>
      <c r="CR4" s="36"/>
      <c r="CS4" s="36"/>
      <c r="CT4" s="34"/>
      <c r="CV4" s="48"/>
    </row>
    <row r="5" spans="1:100" s="6" customFormat="1" ht="49.5" customHeight="1" hidden="1">
      <c r="A5" s="73" t="s">
        <v>172</v>
      </c>
      <c r="E5" s="11"/>
      <c r="F5" s="20"/>
      <c r="G5" s="11"/>
      <c r="H5" s="19"/>
      <c r="K5" s="20"/>
      <c r="L5" s="19"/>
      <c r="M5" s="49"/>
      <c r="N5" s="19"/>
      <c r="O5" s="19"/>
      <c r="R5" s="20"/>
      <c r="S5" s="11"/>
      <c r="T5" s="19"/>
      <c r="U5" s="21"/>
      <c r="X5" s="20"/>
      <c r="Z5" s="20"/>
      <c r="AB5" s="22"/>
      <c r="AD5" s="20"/>
      <c r="AE5" s="23"/>
      <c r="AF5" s="19"/>
      <c r="AI5" s="20"/>
      <c r="AN5" s="9"/>
      <c r="AO5" s="19"/>
      <c r="AP5" s="19"/>
      <c r="AQ5" s="45"/>
      <c r="AZ5" s="19"/>
      <c r="BD5" s="42"/>
      <c r="BE5" s="11"/>
      <c r="BH5" s="20"/>
      <c r="BL5" s="20"/>
      <c r="BM5" s="19"/>
      <c r="BP5" s="20"/>
      <c r="BQ5" s="19"/>
      <c r="BS5" s="19"/>
      <c r="BT5" s="20"/>
      <c r="BW5" s="19"/>
      <c r="BZ5" s="20"/>
      <c r="CD5" s="20"/>
      <c r="CE5" s="19"/>
      <c r="CF5" s="19"/>
      <c r="CG5" s="19"/>
      <c r="CM5" s="19"/>
      <c r="CN5" s="19"/>
      <c r="CO5" s="19"/>
      <c r="CQ5" s="22"/>
      <c r="CR5" s="22"/>
      <c r="CS5" s="22"/>
      <c r="CT5" s="20"/>
      <c r="CV5" s="45"/>
    </row>
    <row r="6" spans="1:152" ht="81" customHeight="1" hidden="1">
      <c r="A6" s="116" t="s">
        <v>126</v>
      </c>
      <c r="B6" s="120" t="s">
        <v>116</v>
      </c>
      <c r="C6" s="120"/>
      <c r="D6" s="120"/>
      <c r="E6" s="120"/>
      <c r="F6" s="120"/>
      <c r="G6" s="120"/>
      <c r="H6" s="120"/>
      <c r="I6" s="122" t="s">
        <v>67</v>
      </c>
      <c r="J6" s="122"/>
      <c r="K6" s="122"/>
      <c r="L6" s="122"/>
      <c r="M6" s="122"/>
      <c r="N6" s="122"/>
      <c r="O6" s="122"/>
      <c r="P6" s="120" t="s">
        <v>68</v>
      </c>
      <c r="Q6" s="120"/>
      <c r="R6" s="120"/>
      <c r="S6" s="120"/>
      <c r="T6" s="120"/>
      <c r="U6" s="120" t="s">
        <v>38</v>
      </c>
      <c r="V6" s="120"/>
      <c r="W6" s="120"/>
      <c r="X6" s="120"/>
      <c r="Y6" s="120"/>
      <c r="Z6" s="120"/>
      <c r="AA6" s="120" t="s">
        <v>39</v>
      </c>
      <c r="AB6" s="120"/>
      <c r="AC6" s="120"/>
      <c r="AD6" s="120"/>
      <c r="AE6" s="120"/>
      <c r="AF6" s="120"/>
      <c r="AG6" s="118" t="s">
        <v>44</v>
      </c>
      <c r="AH6" s="121"/>
      <c r="AI6" s="121"/>
      <c r="AJ6" s="121"/>
      <c r="AK6" s="119"/>
      <c r="AL6" s="118" t="s">
        <v>43</v>
      </c>
      <c r="AM6" s="121"/>
      <c r="AN6" s="121"/>
      <c r="AO6" s="121"/>
      <c r="AP6" s="119"/>
      <c r="AQ6" s="120" t="s">
        <v>69</v>
      </c>
      <c r="AR6" s="120"/>
      <c r="AS6" s="120"/>
      <c r="AT6" s="118" t="s">
        <v>47</v>
      </c>
      <c r="AU6" s="121"/>
      <c r="AV6" s="121"/>
      <c r="AW6" s="121"/>
      <c r="AX6" s="121"/>
      <c r="AY6" s="121"/>
      <c r="AZ6" s="119"/>
      <c r="BA6" s="120" t="s">
        <v>48</v>
      </c>
      <c r="BB6" s="120"/>
      <c r="BC6" s="120"/>
      <c r="BD6" s="120"/>
      <c r="BE6" s="120"/>
      <c r="BF6" s="118" t="s">
        <v>95</v>
      </c>
      <c r="BG6" s="121"/>
      <c r="BH6" s="121"/>
      <c r="BI6" s="119"/>
      <c r="BJ6" s="118" t="s">
        <v>70</v>
      </c>
      <c r="BK6" s="121"/>
      <c r="BL6" s="121"/>
      <c r="BM6" s="119"/>
      <c r="BN6" s="120" t="s">
        <v>98</v>
      </c>
      <c r="BO6" s="120"/>
      <c r="BP6" s="120"/>
      <c r="BQ6" s="120"/>
      <c r="BR6" s="120" t="s">
        <v>54</v>
      </c>
      <c r="BS6" s="120"/>
      <c r="BT6" s="120"/>
      <c r="BU6" s="120"/>
      <c r="BV6" s="120" t="s">
        <v>99</v>
      </c>
      <c r="BW6" s="120"/>
      <c r="BX6" s="120"/>
      <c r="BY6" s="120"/>
      <c r="BZ6" s="120"/>
      <c r="CA6" s="120"/>
      <c r="CB6" s="120" t="s">
        <v>102</v>
      </c>
      <c r="CC6" s="120"/>
      <c r="CD6" s="120"/>
      <c r="CE6" s="120"/>
      <c r="CF6" s="120"/>
      <c r="CG6" s="120"/>
      <c r="CH6" s="120" t="s">
        <v>71</v>
      </c>
      <c r="CI6" s="118"/>
      <c r="CJ6" s="118" t="s">
        <v>56</v>
      </c>
      <c r="CK6" s="121"/>
      <c r="CL6" s="121"/>
      <c r="CM6" s="121"/>
      <c r="CN6" s="121"/>
      <c r="CO6" s="119"/>
      <c r="CP6" s="118" t="s">
        <v>72</v>
      </c>
      <c r="CQ6" s="121"/>
      <c r="CR6" s="121"/>
      <c r="CS6" s="121"/>
      <c r="CT6" s="121"/>
      <c r="CU6" s="119"/>
      <c r="CV6" s="118" t="s">
        <v>73</v>
      </c>
      <c r="CW6" s="119"/>
      <c r="CX6" s="123" t="s">
        <v>108</v>
      </c>
      <c r="CY6" s="124"/>
      <c r="CZ6" s="124"/>
      <c r="DA6" s="124"/>
      <c r="DB6" s="124"/>
      <c r="DC6" s="124"/>
      <c r="DD6" s="125"/>
      <c r="DE6" s="118" t="s">
        <v>109</v>
      </c>
      <c r="DF6" s="119"/>
      <c r="DG6" s="118" t="s">
        <v>12</v>
      </c>
      <c r="DH6" s="119"/>
      <c r="DI6" s="118" t="s">
        <v>13</v>
      </c>
      <c r="DJ6" s="119"/>
      <c r="DK6" s="118" t="s">
        <v>14</v>
      </c>
      <c r="DL6" s="119"/>
      <c r="DM6" s="118" t="s">
        <v>15</v>
      </c>
      <c r="DN6" s="119"/>
      <c r="DO6" s="118" t="s">
        <v>16</v>
      </c>
      <c r="DP6" s="119"/>
      <c r="DQ6" s="118" t="s">
        <v>17</v>
      </c>
      <c r="DR6" s="119"/>
      <c r="DS6" s="118" t="s">
        <v>18</v>
      </c>
      <c r="DT6" s="119"/>
      <c r="DU6" s="118" t="s">
        <v>19</v>
      </c>
      <c r="DV6" s="119"/>
      <c r="DW6" s="126" t="s">
        <v>125</v>
      </c>
      <c r="DX6" s="93"/>
      <c r="DY6" s="92"/>
      <c r="DZ6" s="92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</row>
    <row r="7" spans="1:151" ht="240.75" customHeight="1" hidden="1">
      <c r="A7" s="117"/>
      <c r="B7" s="2" t="s">
        <v>23</v>
      </c>
      <c r="C7" s="2" t="s">
        <v>24</v>
      </c>
      <c r="D7" s="2" t="s">
        <v>25</v>
      </c>
      <c r="E7" s="12" t="s">
        <v>26</v>
      </c>
      <c r="F7" s="24" t="s">
        <v>136</v>
      </c>
      <c r="G7" s="12" t="s">
        <v>29</v>
      </c>
      <c r="H7" s="2" t="s">
        <v>137</v>
      </c>
      <c r="I7" s="2" t="s">
        <v>27</v>
      </c>
      <c r="J7" s="2" t="s">
        <v>84</v>
      </c>
      <c r="K7" s="24" t="s">
        <v>85</v>
      </c>
      <c r="L7" s="2" t="s">
        <v>28</v>
      </c>
      <c r="M7" s="24" t="s">
        <v>138</v>
      </c>
      <c r="N7" s="2" t="s">
        <v>29</v>
      </c>
      <c r="O7" s="2" t="s">
        <v>140</v>
      </c>
      <c r="P7" s="3" t="s">
        <v>34</v>
      </c>
      <c r="Q7" s="3" t="s">
        <v>35</v>
      </c>
      <c r="R7" s="25" t="s">
        <v>139</v>
      </c>
      <c r="S7" s="8" t="s">
        <v>29</v>
      </c>
      <c r="T7" s="3" t="s">
        <v>141</v>
      </c>
      <c r="U7" s="5" t="s">
        <v>37</v>
      </c>
      <c r="V7" s="3" t="s">
        <v>86</v>
      </c>
      <c r="W7" s="3" t="s">
        <v>130</v>
      </c>
      <c r="X7" s="25" t="s">
        <v>142</v>
      </c>
      <c r="Y7" s="3" t="s">
        <v>29</v>
      </c>
      <c r="Z7" s="25" t="s">
        <v>143</v>
      </c>
      <c r="AA7" s="3" t="s">
        <v>87</v>
      </c>
      <c r="AB7" s="82" t="s">
        <v>88</v>
      </c>
      <c r="AC7" s="3" t="s">
        <v>132</v>
      </c>
      <c r="AD7" s="24" t="s">
        <v>145</v>
      </c>
      <c r="AE7" s="2" t="s">
        <v>29</v>
      </c>
      <c r="AF7" s="25" t="s">
        <v>144</v>
      </c>
      <c r="AG7" s="3" t="s">
        <v>40</v>
      </c>
      <c r="AH7" s="3" t="s">
        <v>41</v>
      </c>
      <c r="AI7" s="24" t="s">
        <v>146</v>
      </c>
      <c r="AJ7" s="2" t="s">
        <v>29</v>
      </c>
      <c r="AK7" s="25" t="s">
        <v>147</v>
      </c>
      <c r="AL7" s="3" t="s">
        <v>42</v>
      </c>
      <c r="AM7" s="3" t="s">
        <v>2</v>
      </c>
      <c r="AN7" s="3" t="s">
        <v>148</v>
      </c>
      <c r="AO7" s="2" t="s">
        <v>29</v>
      </c>
      <c r="AP7" s="25" t="s">
        <v>149</v>
      </c>
      <c r="AQ7" s="46" t="s">
        <v>46</v>
      </c>
      <c r="AR7" s="2" t="s">
        <v>29</v>
      </c>
      <c r="AS7" s="25" t="s">
        <v>36</v>
      </c>
      <c r="AT7" s="3" t="s">
        <v>89</v>
      </c>
      <c r="AU7" s="3" t="s">
        <v>90</v>
      </c>
      <c r="AV7" s="3" t="s">
        <v>91</v>
      </c>
      <c r="AW7" s="3" t="s">
        <v>92</v>
      </c>
      <c r="AX7" s="3" t="s">
        <v>150</v>
      </c>
      <c r="AY7" s="2" t="s">
        <v>29</v>
      </c>
      <c r="AZ7" s="3" t="s">
        <v>151</v>
      </c>
      <c r="BA7" s="3" t="s">
        <v>93</v>
      </c>
      <c r="BB7" s="3" t="s">
        <v>94</v>
      </c>
      <c r="BC7" s="3" t="s">
        <v>152</v>
      </c>
      <c r="BD7" s="2" t="s">
        <v>29</v>
      </c>
      <c r="BE7" s="25" t="s">
        <v>153</v>
      </c>
      <c r="BF7" s="3" t="s">
        <v>62</v>
      </c>
      <c r="BG7" s="3" t="s">
        <v>61</v>
      </c>
      <c r="BH7" s="25" t="s">
        <v>154</v>
      </c>
      <c r="BI7" s="25" t="s">
        <v>155</v>
      </c>
      <c r="BJ7" s="3" t="s">
        <v>96</v>
      </c>
      <c r="BK7" s="3" t="s">
        <v>97</v>
      </c>
      <c r="BL7" s="25" t="s">
        <v>148</v>
      </c>
      <c r="BM7" s="25" t="s">
        <v>156</v>
      </c>
      <c r="BN7" s="3" t="s">
        <v>51</v>
      </c>
      <c r="BO7" s="3" t="s">
        <v>52</v>
      </c>
      <c r="BP7" s="25" t="s">
        <v>148</v>
      </c>
      <c r="BQ7" s="3" t="s">
        <v>157</v>
      </c>
      <c r="BR7" s="2" t="s">
        <v>53</v>
      </c>
      <c r="BS7" s="2" t="s">
        <v>49</v>
      </c>
      <c r="BT7" s="25" t="s">
        <v>154</v>
      </c>
      <c r="BU7" s="3" t="s">
        <v>158</v>
      </c>
      <c r="BV7" s="3" t="s">
        <v>63</v>
      </c>
      <c r="BW7" s="3" t="s">
        <v>100</v>
      </c>
      <c r="BX7" s="3" t="s">
        <v>55</v>
      </c>
      <c r="BY7" s="3" t="s">
        <v>101</v>
      </c>
      <c r="BZ7" s="25" t="s">
        <v>159</v>
      </c>
      <c r="CA7" s="3" t="s">
        <v>160</v>
      </c>
      <c r="CB7" s="3" t="s">
        <v>103</v>
      </c>
      <c r="CC7" s="3" t="s">
        <v>104</v>
      </c>
      <c r="CD7" s="25" t="s">
        <v>105</v>
      </c>
      <c r="CE7" s="3" t="s">
        <v>106</v>
      </c>
      <c r="CF7" s="3" t="s">
        <v>161</v>
      </c>
      <c r="CG7" s="3" t="s">
        <v>121</v>
      </c>
      <c r="CH7" s="3" t="s">
        <v>107</v>
      </c>
      <c r="CI7" s="3" t="s">
        <v>122</v>
      </c>
      <c r="CJ7" s="3" t="s">
        <v>112</v>
      </c>
      <c r="CK7" s="3" t="s">
        <v>113</v>
      </c>
      <c r="CL7" s="3" t="s">
        <v>114</v>
      </c>
      <c r="CM7" s="3" t="s">
        <v>115</v>
      </c>
      <c r="CN7" s="3" t="s">
        <v>0</v>
      </c>
      <c r="CO7" s="3" t="s">
        <v>123</v>
      </c>
      <c r="CP7" s="3" t="s">
        <v>58</v>
      </c>
      <c r="CQ7" s="82" t="s">
        <v>57</v>
      </c>
      <c r="CR7" s="82" t="s">
        <v>60</v>
      </c>
      <c r="CS7" s="82" t="s">
        <v>59</v>
      </c>
      <c r="CT7" s="25" t="s">
        <v>0</v>
      </c>
      <c r="CU7" s="3" t="s">
        <v>124</v>
      </c>
      <c r="CV7" s="46" t="s">
        <v>64</v>
      </c>
      <c r="CW7" s="3" t="s">
        <v>65</v>
      </c>
      <c r="CX7" s="39" t="s">
        <v>3</v>
      </c>
      <c r="CY7" s="39" t="s">
        <v>4</v>
      </c>
      <c r="CZ7" s="39" t="s">
        <v>5</v>
      </c>
      <c r="DA7" s="39" t="s">
        <v>6</v>
      </c>
      <c r="DB7" s="90" t="s">
        <v>7</v>
      </c>
      <c r="DC7" s="3" t="s">
        <v>0</v>
      </c>
      <c r="DD7" s="3" t="s">
        <v>66</v>
      </c>
      <c r="DE7" s="39" t="s">
        <v>110</v>
      </c>
      <c r="DF7" s="3" t="s">
        <v>111</v>
      </c>
      <c r="DG7" s="39" t="s">
        <v>8</v>
      </c>
      <c r="DH7" s="3" t="s">
        <v>1</v>
      </c>
      <c r="DI7" s="39" t="s">
        <v>9</v>
      </c>
      <c r="DJ7" s="3" t="s">
        <v>1</v>
      </c>
      <c r="DK7" s="39" t="s">
        <v>10</v>
      </c>
      <c r="DL7" s="3" t="s">
        <v>1</v>
      </c>
      <c r="DM7" s="39" t="s">
        <v>11</v>
      </c>
      <c r="DN7" s="3" t="s">
        <v>1</v>
      </c>
      <c r="DO7" s="39" t="s">
        <v>20</v>
      </c>
      <c r="DP7" s="3" t="s">
        <v>1</v>
      </c>
      <c r="DQ7" s="39" t="s">
        <v>134</v>
      </c>
      <c r="DR7" s="3" t="s">
        <v>1</v>
      </c>
      <c r="DS7" s="39" t="s">
        <v>21</v>
      </c>
      <c r="DT7" s="3" t="s">
        <v>1</v>
      </c>
      <c r="DU7" s="39" t="s">
        <v>22</v>
      </c>
      <c r="DV7" s="3" t="s">
        <v>1</v>
      </c>
      <c r="DW7" s="127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</row>
    <row r="8" spans="1:145" ht="15" hidden="1">
      <c r="A8" s="1" t="s">
        <v>117</v>
      </c>
      <c r="B8" s="14">
        <f>SUM(B9:B18)</f>
        <v>360.70000000000005</v>
      </c>
      <c r="C8" s="14">
        <f>SUM(C9:C18)</f>
        <v>74461.7</v>
      </c>
      <c r="D8" s="31">
        <f>SUM(D9:D18)</f>
        <v>50566.1</v>
      </c>
      <c r="E8" s="28"/>
      <c r="F8" s="55">
        <f>(B8)/(C8-D8-E8)</f>
        <v>0.015094829173571706</v>
      </c>
      <c r="G8" s="41" t="s">
        <v>30</v>
      </c>
      <c r="H8" s="74">
        <f aca="true" t="shared" si="0" ref="H8:H18">IF(F8&lt;=0.05,1,0)</f>
        <v>1</v>
      </c>
      <c r="I8" s="31"/>
      <c r="J8" s="15">
        <f>SUM(J9:J18)</f>
        <v>72408.1</v>
      </c>
      <c r="K8" s="75">
        <f>SUM(K9:K18)</f>
        <v>50625.29999999999</v>
      </c>
      <c r="L8" s="15"/>
      <c r="M8" s="56">
        <f aca="true" t="shared" si="1" ref="M8:M18">I8/(J8-K8-L8)</f>
        <v>0</v>
      </c>
      <c r="N8" s="41" t="s">
        <v>32</v>
      </c>
      <c r="O8" s="51">
        <f>IF(M8&lt;=0.5,1,0)</f>
        <v>1</v>
      </c>
      <c r="P8" s="14"/>
      <c r="Q8" s="31"/>
      <c r="R8" s="58" t="e">
        <f aca="true" t="shared" si="2" ref="R8:R18">P8/Q8</f>
        <v>#DIV/0!</v>
      </c>
      <c r="S8" s="41" t="s">
        <v>33</v>
      </c>
      <c r="T8" s="51">
        <f>IF(P8&gt;Q8,0,1)</f>
        <v>1</v>
      </c>
      <c r="U8" s="16">
        <f>SUM(U9:U18)</f>
        <v>2.4</v>
      </c>
      <c r="V8" s="78">
        <f>SUM(V9:V18)</f>
        <v>73883.1</v>
      </c>
      <c r="W8" s="78">
        <f>SUM(W9:W18)</f>
        <v>616.4</v>
      </c>
      <c r="X8" s="58">
        <f>U8/(V8-W8)</f>
        <v>3.275703696222158E-05</v>
      </c>
      <c r="Y8" s="41" t="s">
        <v>31</v>
      </c>
      <c r="Z8" s="51">
        <f aca="true" t="shared" si="3" ref="Z8:Z18">IF(X8&lt;=0.15,1,0)</f>
        <v>1</v>
      </c>
      <c r="AA8" s="80">
        <f>SUM(AA9:AA18)</f>
        <v>500</v>
      </c>
      <c r="AB8" s="80">
        <f>SUM(AB9:AB18)</f>
        <v>360.70000000000005</v>
      </c>
      <c r="AC8" s="80">
        <f>SUM(AC9:AC18)</f>
        <v>500</v>
      </c>
      <c r="AD8" s="58">
        <f aca="true" t="shared" si="4" ref="AD8:AD18">AA8/(AB8+AC8)</f>
        <v>0.5809225049378413</v>
      </c>
      <c r="AE8" s="41" t="s">
        <v>33</v>
      </c>
      <c r="AF8" s="51">
        <f aca="true" t="shared" si="5" ref="AF8:AF18">IF(AA8&lt;=(AB8+AC8),1,0)</f>
        <v>1</v>
      </c>
      <c r="AG8" s="75">
        <f>SUM(AG9:AG18)</f>
        <v>11672.500000000002</v>
      </c>
      <c r="AH8" s="75">
        <f>SUM(AH9:AH18)</f>
        <v>12616</v>
      </c>
      <c r="AI8" s="58">
        <f aca="true" t="shared" si="6" ref="AI8:AI18">AG8/AH8</f>
        <v>0.9252140139505391</v>
      </c>
      <c r="AJ8" s="41" t="s">
        <v>33</v>
      </c>
      <c r="AK8" s="51">
        <f aca="true" t="shared" si="7" ref="AK8:AK18">IF(AI8&lt;=1,1,0)</f>
        <v>1</v>
      </c>
      <c r="AL8" s="31">
        <f>SUM(AL9:AL18)</f>
        <v>6850.899999999999</v>
      </c>
      <c r="AM8" s="31">
        <f>SUM(AM9:AM18)</f>
        <v>6916.099999999999</v>
      </c>
      <c r="AN8" s="66">
        <f aca="true" t="shared" si="8" ref="AN8:AN18">AL8/AM8</f>
        <v>0.9905727216205664</v>
      </c>
      <c r="AO8" s="41" t="s">
        <v>33</v>
      </c>
      <c r="AP8" s="51">
        <f aca="true" t="shared" si="9" ref="AP8:AP18">IF(AN8&lt;=1,1,0)</f>
        <v>1</v>
      </c>
      <c r="AQ8" s="47">
        <f>SUM(AQ9:AQ18)</f>
        <v>97</v>
      </c>
      <c r="AR8" s="41" t="s">
        <v>133</v>
      </c>
      <c r="AS8" s="51">
        <f>IF(AQ8&lt;=5,1,0)</f>
        <v>0</v>
      </c>
      <c r="AT8" s="17"/>
      <c r="AU8" s="29"/>
      <c r="AV8" s="17"/>
      <c r="AW8" s="17"/>
      <c r="AX8" s="68">
        <f aca="true" t="shared" si="10" ref="AX8:AX18">AT8+AU8+AV8+AW8</f>
        <v>0</v>
      </c>
      <c r="AY8" s="41">
        <v>0</v>
      </c>
      <c r="AZ8" s="51">
        <f aca="true" t="shared" si="11" ref="AZ8:AZ18">IF(AX8&gt;0,-1,0)</f>
        <v>0</v>
      </c>
      <c r="BA8" s="17"/>
      <c r="BB8" s="17">
        <f>SUM(BB9:BB18)</f>
        <v>1400</v>
      </c>
      <c r="BC8" s="69">
        <f>BA8/BB8</f>
        <v>0</v>
      </c>
      <c r="BD8" s="41" t="s">
        <v>50</v>
      </c>
      <c r="BE8" s="51">
        <f aca="true" t="shared" si="12" ref="BE8:BE18">IF(BA8=0,1,0)</f>
        <v>1</v>
      </c>
      <c r="BF8" s="17">
        <f>BF9</f>
        <v>5094.4</v>
      </c>
      <c r="BG8" s="76">
        <f>SUM(BG9:BG18)</f>
        <v>73266.7</v>
      </c>
      <c r="BH8" s="59">
        <f aca="true" t="shared" si="13" ref="BH8:BH18">BF8/BG8</f>
        <v>0.06953227045847568</v>
      </c>
      <c r="BI8" s="51">
        <f aca="true" t="shared" si="14" ref="BI8:BI18">IF(BH8&gt;=0.6,5,IF(BH8&lt;0.3,-1,2))</f>
        <v>-1</v>
      </c>
      <c r="BJ8" s="17">
        <f>SUM(BJ9:BJ18)</f>
        <v>0</v>
      </c>
      <c r="BK8" s="17">
        <f>SUM(BK9:BK18)</f>
        <v>11</v>
      </c>
      <c r="BL8" s="58">
        <f aca="true" t="shared" si="15" ref="BL8:BL18">BJ8/BK8</f>
        <v>0</v>
      </c>
      <c r="BM8" s="51">
        <f>IF(BL8&gt;=0.1,2,IF(BL8&lt;0.05,-1,1))</f>
        <v>-1</v>
      </c>
      <c r="BN8" s="17">
        <f>SUM(BN9:BN18)</f>
        <v>21782.799999999996</v>
      </c>
      <c r="BO8" s="17">
        <f>SUM(BO9:BO18)</f>
        <v>17224.1</v>
      </c>
      <c r="BP8" s="58">
        <f aca="true" t="shared" si="16" ref="BP8:BP18">BN8/BO8</f>
        <v>1.2646698521258004</v>
      </c>
      <c r="BQ8" s="51">
        <f>IF(AND(BP8&gt;=0.95,BP8&lt;=1.05),1,IF(OR(AND(BP8&gt;=0.85,BP8&lt;0.95),AND(BP8&gt;1.05,BP8&lt;=1.15)),0.5,0))</f>
        <v>0</v>
      </c>
      <c r="BR8" s="14">
        <f>SUM(BR9:BR18)</f>
        <v>23895.600000000006</v>
      </c>
      <c r="BS8" s="14">
        <f>SUM(BS9:BS18)</f>
        <v>21782.799999999996</v>
      </c>
      <c r="BT8" s="58">
        <f aca="true" t="shared" si="17" ref="BT8:BT18">BR8/BS8</f>
        <v>1.0969939585360933</v>
      </c>
      <c r="BU8" s="51">
        <f>IF(AND(BT8&gt;=0.98,BT8&lt;=1.02),1,0)</f>
        <v>0</v>
      </c>
      <c r="BV8" s="17">
        <f>SUM(BV9:BV18)</f>
        <v>21782.799999999996</v>
      </c>
      <c r="BW8" s="17">
        <f>SUM(BW9:BW18)</f>
        <v>9582.4</v>
      </c>
      <c r="BX8" s="17">
        <f>SUM(BX9:BX18)</f>
        <v>19435.800000000003</v>
      </c>
      <c r="BY8" s="16">
        <f>SUM(BY9:BY18)</f>
        <v>10252.400000000001</v>
      </c>
      <c r="BZ8" s="58">
        <f aca="true" t="shared" si="18" ref="BZ8:BZ18">(BV8/BW8)/(BX8/BY8)</f>
        <v>1.1991196747919517</v>
      </c>
      <c r="CA8" s="51">
        <f>IF(BZ8&gt;=1,1,0)</f>
        <v>1</v>
      </c>
      <c r="CB8" s="75">
        <f aca="true" t="shared" si="19" ref="CB8:CH8">SUM(CB9:CB18)</f>
        <v>11912.599999999993</v>
      </c>
      <c r="CC8" s="75">
        <f t="shared" si="19"/>
        <v>5521.700000000001</v>
      </c>
      <c r="CD8" s="75">
        <f t="shared" si="19"/>
        <v>7924.499999999999</v>
      </c>
      <c r="CE8" s="75">
        <f t="shared" si="19"/>
        <v>9102.300000000003</v>
      </c>
      <c r="CF8" s="69">
        <f t="shared" si="19"/>
        <v>21.75009827261758</v>
      </c>
      <c r="CG8" s="103">
        <f t="shared" si="19"/>
        <v>3</v>
      </c>
      <c r="CH8" s="17">
        <f t="shared" si="19"/>
        <v>0</v>
      </c>
      <c r="CI8" s="51">
        <f aca="true" t="shared" si="20" ref="CI8:CI18">IF(CH8&gt;0,-1,0)</f>
        <v>0</v>
      </c>
      <c r="CJ8" s="17"/>
      <c r="CK8" s="17"/>
      <c r="CL8" s="17"/>
      <c r="CM8" s="29"/>
      <c r="CN8" s="29">
        <f>IF(CM8&gt;0,(CI8/CJ8)/(CK8/CM8),0)</f>
        <v>0</v>
      </c>
      <c r="CO8" s="29">
        <f>IF(CN8&lt;=1,1,0)</f>
        <v>1</v>
      </c>
      <c r="CP8" s="14">
        <v>0</v>
      </c>
      <c r="CQ8" s="14">
        <f>SUM(CQ9:CQ18)</f>
        <v>23895.600000000006</v>
      </c>
      <c r="CR8" s="31">
        <f>SUM(CR9:CR18)</f>
        <v>0</v>
      </c>
      <c r="CS8" s="31">
        <f>SUM(CS9:CS18)</f>
        <v>20578.2</v>
      </c>
      <c r="CT8" s="58" t="e">
        <f>(CP8/CQ8)/(CR8/CS8)</f>
        <v>#DIV/0!</v>
      </c>
      <c r="CU8" s="51">
        <f>IF(CR8=0,1,IF(CT8&lt;1,1,0))</f>
        <v>1</v>
      </c>
      <c r="CV8" s="47"/>
      <c r="CW8" s="51">
        <f>IF(ISBLANK(CV8),0,-1)</f>
        <v>0</v>
      </c>
      <c r="CX8" s="17">
        <f>SUM(CX9:CX18)</f>
        <v>8</v>
      </c>
      <c r="CY8" s="17">
        <f>SUM(CY9:CY18)</f>
        <v>10</v>
      </c>
      <c r="CZ8" s="17">
        <f>SUM(CZ9:CZ18)</f>
        <v>9</v>
      </c>
      <c r="DA8" s="17">
        <f>SUM(DA9:DA18)</f>
        <v>10</v>
      </c>
      <c r="DB8" s="17">
        <f>SUM(DB9:DB18)</f>
        <v>3</v>
      </c>
      <c r="DC8" s="41">
        <f aca="true" t="shared" si="21" ref="DC8:DC18">CX8+CY8+CZ8+DA8+DB8</f>
        <v>40</v>
      </c>
      <c r="DD8" s="51">
        <f>IF(DC8&gt;=5,1,0)</f>
        <v>1</v>
      </c>
      <c r="DE8" s="29"/>
      <c r="DF8" s="51">
        <f>IF(ISBLANK(DE8),0,-1)</f>
        <v>0</v>
      </c>
      <c r="DG8" s="17"/>
      <c r="DH8" s="51">
        <f>IF(ISBLANK(DG8),0,0.5)</f>
        <v>0</v>
      </c>
      <c r="DI8" s="17">
        <f>SUM(DI9:DI18)</f>
        <v>3</v>
      </c>
      <c r="DJ8" s="51">
        <f>IF(ISBLANK(DI8),0,0.5)</f>
        <v>0.5</v>
      </c>
      <c r="DK8" s="17">
        <f>SUM(DK9:DK18)</f>
        <v>1</v>
      </c>
      <c r="DL8" s="51">
        <f aca="true" t="shared" si="22" ref="DL8:DL18">IF(ISBLANK(DK8),0,0.5)</f>
        <v>0.5</v>
      </c>
      <c r="DM8" s="17">
        <f>SUM(DM9:DM18)</f>
        <v>7</v>
      </c>
      <c r="DN8" s="51">
        <f aca="true" t="shared" si="23" ref="DN8:DN18">IF(ISBLANK(DM8),0,0.5)</f>
        <v>0.5</v>
      </c>
      <c r="DO8" s="17"/>
      <c r="DP8" s="51">
        <f>IF(ISBLANK(DO8),0,0.5)</f>
        <v>0</v>
      </c>
      <c r="DQ8" s="17"/>
      <c r="DR8" s="51">
        <f aca="true" t="shared" si="24" ref="DR8:DR18">IF(ISBLANK(DQ8),0,0.5)</f>
        <v>0</v>
      </c>
      <c r="DS8" s="17">
        <f>SUM(DS9:DS18)</f>
        <v>7</v>
      </c>
      <c r="DT8" s="51">
        <f>IF(ISBLANK(DS8),0,0.5)</f>
        <v>0.5</v>
      </c>
      <c r="DU8" s="17"/>
      <c r="DV8" s="51">
        <f aca="true" t="shared" si="25" ref="DV8:DV18">IF(ISBLANK(DU8),0,0.5)</f>
        <v>0</v>
      </c>
      <c r="DW8" s="94">
        <f>SUM(DW9:DW18)</f>
        <v>103</v>
      </c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</row>
    <row r="9" spans="1:145" ht="15" hidden="1">
      <c r="A9" s="81" t="s">
        <v>83</v>
      </c>
      <c r="B9" s="14"/>
      <c r="C9" s="14">
        <v>58984.7</v>
      </c>
      <c r="D9" s="31">
        <v>39306</v>
      </c>
      <c r="E9" s="28"/>
      <c r="F9" s="55">
        <f aca="true" t="shared" si="26" ref="F9:F18">(B9)/(C9-D9-E9)</f>
        <v>0</v>
      </c>
      <c r="G9" s="41" t="s">
        <v>135</v>
      </c>
      <c r="H9" s="74">
        <f t="shared" si="0"/>
        <v>1</v>
      </c>
      <c r="I9" s="31"/>
      <c r="J9" s="15">
        <v>57327.6</v>
      </c>
      <c r="K9" s="75">
        <v>39392.1</v>
      </c>
      <c r="L9" s="29"/>
      <c r="M9" s="56">
        <f>I9/(J9-K9-L9)</f>
        <v>0</v>
      </c>
      <c r="N9" s="41" t="s">
        <v>32</v>
      </c>
      <c r="O9" s="51">
        <f>IF(M9&lt;=0.5,1,0)</f>
        <v>1</v>
      </c>
      <c r="P9" s="14"/>
      <c r="Q9" s="31"/>
      <c r="R9" s="58" t="e">
        <f t="shared" si="2"/>
        <v>#DIV/0!</v>
      </c>
      <c r="S9" s="41" t="s">
        <v>33</v>
      </c>
      <c r="T9" s="51">
        <f aca="true" t="shared" si="27" ref="T9:T18">IF(P9&gt;Q9,0,1)</f>
        <v>1</v>
      </c>
      <c r="U9" s="16">
        <v>2.4</v>
      </c>
      <c r="V9" s="78">
        <v>58206.7</v>
      </c>
      <c r="W9" s="31">
        <v>20.1</v>
      </c>
      <c r="X9" s="58">
        <f>U9/(V9-W9)</f>
        <v>4.124661004423699E-05</v>
      </c>
      <c r="Y9" s="41" t="s">
        <v>31</v>
      </c>
      <c r="Z9" s="51">
        <f t="shared" si="3"/>
        <v>1</v>
      </c>
      <c r="AA9" s="80">
        <v>500</v>
      </c>
      <c r="AB9" s="31"/>
      <c r="AC9" s="31">
        <v>500</v>
      </c>
      <c r="AD9" s="58">
        <f t="shared" si="4"/>
        <v>1</v>
      </c>
      <c r="AE9" s="41" t="s">
        <v>33</v>
      </c>
      <c r="AF9" s="51">
        <f>IF(AA9&lt;=(AB9+AC9),1,0)</f>
        <v>1</v>
      </c>
      <c r="AG9" s="17">
        <v>4728</v>
      </c>
      <c r="AH9" s="17">
        <v>4728</v>
      </c>
      <c r="AI9" s="58">
        <f>AG9/AH9</f>
        <v>1</v>
      </c>
      <c r="AJ9" s="41" t="s">
        <v>33</v>
      </c>
      <c r="AK9" s="51">
        <f t="shared" si="7"/>
        <v>1</v>
      </c>
      <c r="AL9" s="31">
        <v>2561.8</v>
      </c>
      <c r="AM9" s="31">
        <v>2575</v>
      </c>
      <c r="AN9" s="66">
        <f t="shared" si="8"/>
        <v>0.994873786407767</v>
      </c>
      <c r="AO9" s="41" t="s">
        <v>33</v>
      </c>
      <c r="AP9" s="51">
        <f t="shared" si="9"/>
        <v>1</v>
      </c>
      <c r="AQ9" s="47">
        <v>15</v>
      </c>
      <c r="AR9" s="41" t="s">
        <v>133</v>
      </c>
      <c r="AS9" s="51">
        <f>IF(AQ9&lt;=6,1,0)</f>
        <v>0</v>
      </c>
      <c r="AT9" s="17"/>
      <c r="AU9" s="29"/>
      <c r="AV9" s="17"/>
      <c r="AW9" s="17"/>
      <c r="AX9" s="68">
        <f t="shared" si="10"/>
        <v>0</v>
      </c>
      <c r="AY9" s="41">
        <v>0</v>
      </c>
      <c r="AZ9" s="51">
        <f>IF(AX9&gt;0,-1,0)</f>
        <v>0</v>
      </c>
      <c r="BA9" s="17"/>
      <c r="BB9" s="17">
        <v>1400</v>
      </c>
      <c r="BC9" s="69">
        <f>BA9/BB9</f>
        <v>0</v>
      </c>
      <c r="BD9" s="41" t="s">
        <v>50</v>
      </c>
      <c r="BE9" s="51">
        <f>IF(BA9=0,1,0)</f>
        <v>1</v>
      </c>
      <c r="BF9" s="17">
        <v>5094.4</v>
      </c>
      <c r="BG9" s="63">
        <f>V9-W9</f>
        <v>58186.6</v>
      </c>
      <c r="BH9" s="59">
        <f t="shared" si="13"/>
        <v>0.08755280425390038</v>
      </c>
      <c r="BI9" s="51">
        <f>IF(BH9&gt;=0.6,5,IF(BH9&lt;0.3,-1,2))</f>
        <v>-1</v>
      </c>
      <c r="BJ9" s="17">
        <v>0</v>
      </c>
      <c r="BK9" s="17">
        <v>2</v>
      </c>
      <c r="BL9" s="58">
        <f t="shared" si="15"/>
        <v>0</v>
      </c>
      <c r="BM9" s="51">
        <f>IF(BL9=0.1,2,IF(BL9&lt;0.05,-1,1))</f>
        <v>-1</v>
      </c>
      <c r="BN9" s="17">
        <v>17935.6</v>
      </c>
      <c r="BO9" s="17">
        <v>14135.5</v>
      </c>
      <c r="BP9" s="58">
        <f t="shared" si="16"/>
        <v>1.2688337872731774</v>
      </c>
      <c r="BQ9" s="51">
        <f aca="true" t="shared" si="28" ref="BQ9:BQ18">IF(AND(BP9&gt;=0.95,BP9&lt;=1.05),1,IF(OR(AND(BP9&gt;=0.85,BP9&lt;0.95),AND(BP9&gt;1.05,BP9&lt;=1.15)),0.5,0))</f>
        <v>0</v>
      </c>
      <c r="BR9" s="95">
        <v>19678.7</v>
      </c>
      <c r="BS9" s="100">
        <v>17935.6</v>
      </c>
      <c r="BT9" s="98">
        <f t="shared" si="17"/>
        <v>1.097186600950066</v>
      </c>
      <c r="BU9" s="51">
        <f aca="true" t="shared" si="29" ref="BU9:BU18">IF(AND(BT9&gt;=0.98,BT9&lt;=1.02),1,0)</f>
        <v>0</v>
      </c>
      <c r="BV9" s="17">
        <v>17935.6</v>
      </c>
      <c r="BW9" s="18">
        <v>4851.6</v>
      </c>
      <c r="BX9" s="17">
        <v>16405.3</v>
      </c>
      <c r="BY9" s="17">
        <v>6009.8</v>
      </c>
      <c r="BZ9" s="58">
        <f t="shared" si="18"/>
        <v>1.3542746994780757</v>
      </c>
      <c r="CA9" s="51">
        <f aca="true" t="shared" si="30" ref="CA9:CA18">IF(BZ9&gt;=1,1,0)</f>
        <v>1</v>
      </c>
      <c r="CB9" s="17">
        <f>24417.6-CC9-CD9-CE9</f>
        <v>8561.899999999996</v>
      </c>
      <c r="CC9" s="18">
        <v>4042.9</v>
      </c>
      <c r="CD9" s="18">
        <f>9243.8-CC9</f>
        <v>5200.9</v>
      </c>
      <c r="CE9" s="18">
        <f>15855.7-CC9-CD9</f>
        <v>6611.9000000000015</v>
      </c>
      <c r="CF9" s="71">
        <f>(CB9/CC9)/(CD9/CE9)</f>
        <v>2.6923091358190763</v>
      </c>
      <c r="CG9" s="51">
        <f>IF(AND(CF9&gt;=0.7,CF9&lt;=1.3),1,IF(OR(AND(CF9&gt;=0.5,CF9&lt;0.7),AND(CF9&gt;1.35,CF9&lt;=1.5)),0.5,0))</f>
        <v>0</v>
      </c>
      <c r="CH9" s="17">
        <v>0</v>
      </c>
      <c r="CI9" s="51">
        <f t="shared" si="20"/>
        <v>0</v>
      </c>
      <c r="CJ9" s="17"/>
      <c r="CK9" s="17"/>
      <c r="CL9" s="17"/>
      <c r="CM9" s="29"/>
      <c r="CN9" s="29">
        <f aca="true" t="shared" si="31" ref="CN9:CN18">IF(CM9&gt;0,(CI9/CJ9)/(CK9/CM9),0)</f>
        <v>0</v>
      </c>
      <c r="CO9" s="29">
        <f aca="true" t="shared" si="32" ref="CO9:CO18">IF(CN9&lt;=1,1,0)</f>
        <v>1</v>
      </c>
      <c r="CP9" s="14">
        <v>0</v>
      </c>
      <c r="CQ9" s="95">
        <v>19678.7</v>
      </c>
      <c r="CR9" s="31">
        <v>0</v>
      </c>
      <c r="CS9" s="31">
        <v>17343.3</v>
      </c>
      <c r="CT9" s="58" t="e">
        <f aca="true" t="shared" si="33" ref="CT9:CT18">(CP9/CQ9)/(CR9/CS9)</f>
        <v>#DIV/0!</v>
      </c>
      <c r="CU9" s="51">
        <f aca="true" t="shared" si="34" ref="CU9:CU18">IF(CR9=0,1,IF(CT9&lt;1,1,0))</f>
        <v>1</v>
      </c>
      <c r="CV9" s="47"/>
      <c r="CW9" s="51">
        <f aca="true" t="shared" si="35" ref="CW9:CW18">IF(ISBLANK(CV9),0,-1)</f>
        <v>0</v>
      </c>
      <c r="CX9" s="17">
        <v>1</v>
      </c>
      <c r="CY9" s="17">
        <v>1</v>
      </c>
      <c r="CZ9" s="17">
        <v>1</v>
      </c>
      <c r="DA9" s="17">
        <v>1</v>
      </c>
      <c r="DB9" s="17">
        <v>0</v>
      </c>
      <c r="DC9" s="41">
        <f t="shared" si="21"/>
        <v>4</v>
      </c>
      <c r="DD9" s="51">
        <f>IF(DC9&gt;=4,1,0)</f>
        <v>1</v>
      </c>
      <c r="DE9" s="29"/>
      <c r="DF9" s="51">
        <f aca="true" t="shared" si="36" ref="DF9:DF18">IF(ISBLANK(DE9),0,-1)</f>
        <v>0</v>
      </c>
      <c r="DG9" s="17"/>
      <c r="DH9" s="51">
        <f>IF(ISBLANK(DG9),0,0.5)</f>
        <v>0</v>
      </c>
      <c r="DI9" s="17">
        <v>1</v>
      </c>
      <c r="DJ9" s="51">
        <f aca="true" t="shared" si="37" ref="DJ9:DJ18">IF(ISBLANK(DI9),0,0.5)</f>
        <v>0.5</v>
      </c>
      <c r="DK9" s="17">
        <v>1</v>
      </c>
      <c r="DL9" s="51">
        <f t="shared" si="22"/>
        <v>0.5</v>
      </c>
      <c r="DM9" s="17">
        <v>1</v>
      </c>
      <c r="DN9" s="51">
        <f>IF(ISBLANK(DM9),0,0.5)</f>
        <v>0.5</v>
      </c>
      <c r="DO9" s="17"/>
      <c r="DP9" s="51">
        <f>IF(ISBLANK(DO9),0,0.5)</f>
        <v>0</v>
      </c>
      <c r="DQ9" s="17"/>
      <c r="DR9" s="51">
        <f t="shared" si="24"/>
        <v>0</v>
      </c>
      <c r="DS9" s="17">
        <v>1</v>
      </c>
      <c r="DT9" s="51">
        <f>IF(ISBLANK(DS9),0,0.5)</f>
        <v>0.5</v>
      </c>
      <c r="DU9" s="17"/>
      <c r="DV9" s="51">
        <f t="shared" si="25"/>
        <v>0</v>
      </c>
      <c r="DW9" s="109">
        <f aca="true" t="shared" si="38" ref="DW9:DW18">H9+O9+T9+Z9+AF9+AK9+AP9+AS9+AZ9+BE9+BI9+BM9+BQ9+BU9+CA9+CG9+CI9+CO9+CU9+CW9+DD9+DF9+DH9+DJ9+DL9+DN9+DP9+DR9+DT9+DV9</f>
        <v>12</v>
      </c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</row>
    <row r="10" spans="1:145" ht="15" hidden="1">
      <c r="A10" s="81" t="s">
        <v>74</v>
      </c>
      <c r="B10" s="14">
        <v>239.3</v>
      </c>
      <c r="C10" s="14">
        <v>1923.3</v>
      </c>
      <c r="D10" s="31">
        <v>1336.4</v>
      </c>
      <c r="E10" s="28"/>
      <c r="F10" s="55">
        <f>(B10)/(C10-D10-E10)</f>
        <v>0.4077355597205658</v>
      </c>
      <c r="G10" s="41" t="s">
        <v>30</v>
      </c>
      <c r="H10" s="74">
        <f t="shared" si="0"/>
        <v>0</v>
      </c>
      <c r="I10" s="31"/>
      <c r="J10" s="15">
        <v>1876.9</v>
      </c>
      <c r="K10" s="77">
        <v>1333.6</v>
      </c>
      <c r="L10" s="29"/>
      <c r="M10" s="56">
        <f t="shared" si="1"/>
        <v>0</v>
      </c>
      <c r="N10" s="41" t="s">
        <v>32</v>
      </c>
      <c r="O10" s="51">
        <f>IF(M10&lt;=0.5,1,0)</f>
        <v>1</v>
      </c>
      <c r="P10" s="14"/>
      <c r="Q10" s="31"/>
      <c r="R10" s="58" t="e">
        <f t="shared" si="2"/>
        <v>#DIV/0!</v>
      </c>
      <c r="S10" s="41" t="s">
        <v>33</v>
      </c>
      <c r="T10" s="51">
        <f t="shared" si="27"/>
        <v>1</v>
      </c>
      <c r="U10" s="16"/>
      <c r="V10" s="78">
        <v>2162.6</v>
      </c>
      <c r="W10" s="31">
        <v>116</v>
      </c>
      <c r="X10" s="58">
        <f aca="true" t="shared" si="39" ref="X10:X18">U10/(V10-W10)</f>
        <v>0</v>
      </c>
      <c r="Y10" s="41" t="s">
        <v>31</v>
      </c>
      <c r="Z10" s="51">
        <f t="shared" si="3"/>
        <v>1</v>
      </c>
      <c r="AA10" s="80"/>
      <c r="AB10" s="31">
        <v>239.3</v>
      </c>
      <c r="AC10" s="31"/>
      <c r="AD10" s="58">
        <f t="shared" si="4"/>
        <v>0</v>
      </c>
      <c r="AE10" s="41" t="s">
        <v>33</v>
      </c>
      <c r="AF10" s="51">
        <f t="shared" si="5"/>
        <v>1</v>
      </c>
      <c r="AG10" s="17">
        <v>725.3</v>
      </c>
      <c r="AH10" s="17">
        <v>955</v>
      </c>
      <c r="AI10" s="58">
        <f t="shared" si="6"/>
        <v>0.7594764397905759</v>
      </c>
      <c r="AJ10" s="41" t="s">
        <v>33</v>
      </c>
      <c r="AK10" s="51">
        <f t="shared" si="7"/>
        <v>1</v>
      </c>
      <c r="AL10" s="31">
        <v>454.1</v>
      </c>
      <c r="AM10" s="31">
        <v>458.9</v>
      </c>
      <c r="AN10" s="66">
        <f>AL10/AM10</f>
        <v>0.9895402048376554</v>
      </c>
      <c r="AO10" s="41" t="s">
        <v>33</v>
      </c>
      <c r="AP10" s="51">
        <f t="shared" si="9"/>
        <v>1</v>
      </c>
      <c r="AQ10" s="47">
        <v>9</v>
      </c>
      <c r="AR10" s="41" t="s">
        <v>133</v>
      </c>
      <c r="AS10" s="51">
        <f aca="true" t="shared" si="40" ref="AS10:AS18">IF(AQ10&lt;=6,1,0)</f>
        <v>0</v>
      </c>
      <c r="AT10" s="17"/>
      <c r="AU10" s="29"/>
      <c r="AV10" s="17"/>
      <c r="AW10" s="17"/>
      <c r="AX10" s="68">
        <f t="shared" si="10"/>
        <v>0</v>
      </c>
      <c r="AY10" s="41">
        <v>0</v>
      </c>
      <c r="AZ10" s="51">
        <f t="shared" si="11"/>
        <v>0</v>
      </c>
      <c r="BA10" s="17"/>
      <c r="BB10" s="17"/>
      <c r="BC10" s="69" t="e">
        <f aca="true" t="shared" si="41" ref="BC10:BC18">BA10/BB10</f>
        <v>#DIV/0!</v>
      </c>
      <c r="BD10" s="41" t="s">
        <v>50</v>
      </c>
      <c r="BE10" s="51">
        <f t="shared" si="12"/>
        <v>1</v>
      </c>
      <c r="BF10" s="17"/>
      <c r="BG10" s="63">
        <f>V10-W10</f>
        <v>2046.6</v>
      </c>
      <c r="BH10" s="59">
        <f t="shared" si="13"/>
        <v>0</v>
      </c>
      <c r="BI10" s="51">
        <f t="shared" si="14"/>
        <v>-1</v>
      </c>
      <c r="BJ10" s="17">
        <v>0</v>
      </c>
      <c r="BK10" s="17">
        <v>1</v>
      </c>
      <c r="BL10" s="58">
        <f t="shared" si="15"/>
        <v>0</v>
      </c>
      <c r="BM10" s="51">
        <f aca="true" t="shared" si="42" ref="BM10:BM18">IF(BL10=0.1,2,IF(BL10&lt;0.05,-1,1))</f>
        <v>-1</v>
      </c>
      <c r="BN10" s="17">
        <v>543.3</v>
      </c>
      <c r="BO10" s="17">
        <v>698.5</v>
      </c>
      <c r="BP10" s="58">
        <f t="shared" si="16"/>
        <v>0.7778095919828203</v>
      </c>
      <c r="BQ10" s="51">
        <f t="shared" si="28"/>
        <v>0</v>
      </c>
      <c r="BR10" s="96">
        <v>586.9</v>
      </c>
      <c r="BS10" s="100">
        <v>543.3</v>
      </c>
      <c r="BT10" s="98">
        <f>BR10/BS10</f>
        <v>1.0802503221056508</v>
      </c>
      <c r="BU10" s="51">
        <f t="shared" si="29"/>
        <v>0</v>
      </c>
      <c r="BV10" s="17">
        <v>543.3</v>
      </c>
      <c r="BW10" s="18">
        <v>335.5</v>
      </c>
      <c r="BX10" s="17">
        <v>619</v>
      </c>
      <c r="BY10" s="17">
        <v>341.3</v>
      </c>
      <c r="BZ10" s="58">
        <f t="shared" si="18"/>
        <v>0.8928794339218343</v>
      </c>
      <c r="CA10" s="51">
        <f t="shared" si="30"/>
        <v>0</v>
      </c>
      <c r="CB10" s="17">
        <f>1270.5-CC10-CD10-CE10</f>
        <v>376.6</v>
      </c>
      <c r="CC10" s="18">
        <v>193.5</v>
      </c>
      <c r="CD10" s="18">
        <f>465.1-CC10</f>
        <v>271.6</v>
      </c>
      <c r="CE10" s="18">
        <f>893.9-CC10-CD10</f>
        <v>428.79999999999995</v>
      </c>
      <c r="CF10" s="71">
        <f aca="true" t="shared" si="43" ref="CF10:CF18">(CB10/CC10)/(CD10/CE10)</f>
        <v>3.0727296944511036</v>
      </c>
      <c r="CG10" s="51">
        <f>IF(AND(CF10&gt;=0.7,CF10&lt;=1.3),1,IF(OR(AND(CF10&gt;=0.5,CF10&lt;0.7),AND(CF10&gt;1.35,CF10&lt;=1.5)),0.5,0))</f>
        <v>0</v>
      </c>
      <c r="CH10" s="17">
        <v>0</v>
      </c>
      <c r="CI10" s="51">
        <f t="shared" si="20"/>
        <v>0</v>
      </c>
      <c r="CJ10" s="17"/>
      <c r="CK10" s="17"/>
      <c r="CL10" s="17"/>
      <c r="CM10" s="29"/>
      <c r="CN10" s="29">
        <f t="shared" si="31"/>
        <v>0</v>
      </c>
      <c r="CO10" s="29">
        <f t="shared" si="32"/>
        <v>1</v>
      </c>
      <c r="CP10" s="14">
        <v>0</v>
      </c>
      <c r="CQ10" s="96">
        <v>586.9</v>
      </c>
      <c r="CR10" s="31">
        <v>0</v>
      </c>
      <c r="CS10" s="31">
        <v>702.8</v>
      </c>
      <c r="CT10" s="58" t="e">
        <f t="shared" si="33"/>
        <v>#DIV/0!</v>
      </c>
      <c r="CU10" s="51">
        <f>IF(CR10=0,1,IF(CT10&lt;1,1,0))</f>
        <v>1</v>
      </c>
      <c r="CV10" s="47"/>
      <c r="CW10" s="51">
        <f t="shared" si="35"/>
        <v>0</v>
      </c>
      <c r="CX10" s="17">
        <v>1</v>
      </c>
      <c r="CY10" s="17">
        <v>1</v>
      </c>
      <c r="CZ10" s="17">
        <v>1</v>
      </c>
      <c r="DA10" s="17">
        <v>1</v>
      </c>
      <c r="DB10" s="17">
        <v>1</v>
      </c>
      <c r="DC10" s="41">
        <f t="shared" si="21"/>
        <v>5</v>
      </c>
      <c r="DD10" s="51">
        <f aca="true" t="shared" si="44" ref="DD10:DD18">IF(DC10&gt;=4,1,0)</f>
        <v>1</v>
      </c>
      <c r="DE10" s="29"/>
      <c r="DF10" s="51">
        <f t="shared" si="36"/>
        <v>0</v>
      </c>
      <c r="DG10" s="17"/>
      <c r="DH10" s="51">
        <f aca="true" t="shared" si="45" ref="DH10:DH18">IF(ISBLANK(DG10),0,0.5)</f>
        <v>0</v>
      </c>
      <c r="DI10" s="17"/>
      <c r="DJ10" s="51">
        <f t="shared" si="37"/>
        <v>0</v>
      </c>
      <c r="DK10" s="17"/>
      <c r="DL10" s="51">
        <f t="shared" si="22"/>
        <v>0</v>
      </c>
      <c r="DM10" s="17"/>
      <c r="DN10" s="51">
        <f t="shared" si="23"/>
        <v>0</v>
      </c>
      <c r="DO10" s="32"/>
      <c r="DP10" s="51">
        <f>IF(ISBLANK(DO10),0,0.5)</f>
        <v>0</v>
      </c>
      <c r="DQ10" s="17"/>
      <c r="DR10" s="51">
        <f t="shared" si="24"/>
        <v>0</v>
      </c>
      <c r="DS10" s="17">
        <v>1</v>
      </c>
      <c r="DT10" s="51">
        <f>IF(ISBLANK(DS10),0,0.5)</f>
        <v>0.5</v>
      </c>
      <c r="DU10" s="17"/>
      <c r="DV10" s="51">
        <f t="shared" si="25"/>
        <v>0</v>
      </c>
      <c r="DW10" s="102">
        <f t="shared" si="38"/>
        <v>8.5</v>
      </c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</row>
    <row r="11" spans="1:145" ht="15" hidden="1">
      <c r="A11" s="81" t="s">
        <v>82</v>
      </c>
      <c r="B11" s="14">
        <v>2.6</v>
      </c>
      <c r="C11" s="14">
        <v>1401.6</v>
      </c>
      <c r="D11" s="31">
        <v>1043.7</v>
      </c>
      <c r="E11" s="28"/>
      <c r="F11" s="55">
        <f t="shared" si="26"/>
        <v>0.007264599050013973</v>
      </c>
      <c r="G11" s="41" t="s">
        <v>30</v>
      </c>
      <c r="H11" s="74">
        <f t="shared" si="0"/>
        <v>1</v>
      </c>
      <c r="I11" s="31"/>
      <c r="J11" s="15">
        <v>1386.3</v>
      </c>
      <c r="K11" s="75">
        <v>1043.7</v>
      </c>
      <c r="L11" s="29"/>
      <c r="M11" s="56">
        <f t="shared" si="1"/>
        <v>0</v>
      </c>
      <c r="N11" s="41" t="s">
        <v>32</v>
      </c>
      <c r="O11" s="51">
        <f>IF(M11&lt;=0.5,1,0)</f>
        <v>1</v>
      </c>
      <c r="P11" s="14"/>
      <c r="Q11" s="31"/>
      <c r="R11" s="58" t="e">
        <f t="shared" si="2"/>
        <v>#DIV/0!</v>
      </c>
      <c r="S11" s="41" t="s">
        <v>33</v>
      </c>
      <c r="T11" s="51">
        <f t="shared" si="27"/>
        <v>1</v>
      </c>
      <c r="U11" s="16"/>
      <c r="V11" s="78">
        <v>1404.2</v>
      </c>
      <c r="W11" s="31">
        <v>55.2</v>
      </c>
      <c r="X11" s="58">
        <f t="shared" si="39"/>
        <v>0</v>
      </c>
      <c r="Y11" s="41" t="s">
        <v>31</v>
      </c>
      <c r="Z11" s="51">
        <f t="shared" si="3"/>
        <v>1</v>
      </c>
      <c r="AA11" s="80"/>
      <c r="AB11" s="31">
        <v>2.6</v>
      </c>
      <c r="AC11" s="31"/>
      <c r="AD11" s="58">
        <f t="shared" si="4"/>
        <v>0</v>
      </c>
      <c r="AE11" s="41" t="s">
        <v>33</v>
      </c>
      <c r="AF11" s="51">
        <f t="shared" si="5"/>
        <v>1</v>
      </c>
      <c r="AG11" s="17">
        <v>833.9</v>
      </c>
      <c r="AH11" s="17">
        <v>838</v>
      </c>
      <c r="AI11" s="58">
        <f t="shared" si="6"/>
        <v>0.9951073985680191</v>
      </c>
      <c r="AJ11" s="41" t="s">
        <v>33</v>
      </c>
      <c r="AK11" s="51">
        <f t="shared" si="7"/>
        <v>1</v>
      </c>
      <c r="AL11" s="31">
        <v>515.2</v>
      </c>
      <c r="AM11" s="31">
        <v>519</v>
      </c>
      <c r="AN11" s="66">
        <f t="shared" si="8"/>
        <v>0.9926782273603084</v>
      </c>
      <c r="AO11" s="41" t="s">
        <v>33</v>
      </c>
      <c r="AP11" s="51">
        <f t="shared" si="9"/>
        <v>1</v>
      </c>
      <c r="AQ11" s="47">
        <v>10</v>
      </c>
      <c r="AR11" s="41" t="s">
        <v>133</v>
      </c>
      <c r="AS11" s="51">
        <f t="shared" si="40"/>
        <v>0</v>
      </c>
      <c r="AT11" s="17"/>
      <c r="AU11" s="29"/>
      <c r="AV11" s="17"/>
      <c r="AW11" s="17"/>
      <c r="AX11" s="68">
        <f t="shared" si="10"/>
        <v>0</v>
      </c>
      <c r="AY11" s="41">
        <v>0</v>
      </c>
      <c r="AZ11" s="51">
        <f t="shared" si="11"/>
        <v>0</v>
      </c>
      <c r="BA11" s="17"/>
      <c r="BB11" s="17"/>
      <c r="BC11" s="69" t="e">
        <f t="shared" si="41"/>
        <v>#DIV/0!</v>
      </c>
      <c r="BD11" s="41" t="s">
        <v>50</v>
      </c>
      <c r="BE11" s="51">
        <f t="shared" si="12"/>
        <v>1</v>
      </c>
      <c r="BF11" s="17"/>
      <c r="BG11" s="63">
        <f>V11-W11</f>
        <v>1349</v>
      </c>
      <c r="BH11" s="59">
        <f t="shared" si="13"/>
        <v>0</v>
      </c>
      <c r="BI11" s="51">
        <f t="shared" si="14"/>
        <v>-1</v>
      </c>
      <c r="BJ11" s="17">
        <v>0</v>
      </c>
      <c r="BK11" s="17">
        <v>1</v>
      </c>
      <c r="BL11" s="58">
        <f t="shared" si="15"/>
        <v>0</v>
      </c>
      <c r="BM11" s="51">
        <f t="shared" si="42"/>
        <v>-1</v>
      </c>
      <c r="BN11" s="17">
        <v>342.6</v>
      </c>
      <c r="BO11" s="17">
        <v>271.3</v>
      </c>
      <c r="BP11" s="58">
        <f t="shared" si="16"/>
        <v>1.2628086988573535</v>
      </c>
      <c r="BQ11" s="51">
        <f t="shared" si="28"/>
        <v>0</v>
      </c>
      <c r="BR11" s="96">
        <v>357.9</v>
      </c>
      <c r="BS11" s="100">
        <v>342.6</v>
      </c>
      <c r="BT11" s="98">
        <f t="shared" si="17"/>
        <v>1.0446584938704027</v>
      </c>
      <c r="BU11" s="51">
        <f t="shared" si="29"/>
        <v>0</v>
      </c>
      <c r="BV11" s="17">
        <v>342.6</v>
      </c>
      <c r="BW11" s="18">
        <v>582.9</v>
      </c>
      <c r="BX11" s="17">
        <v>234.2</v>
      </c>
      <c r="BY11" s="17">
        <v>479.7</v>
      </c>
      <c r="BZ11" s="58">
        <f>(BV11/BW11)/(BX11/BY11)</f>
        <v>1.2038604058537667</v>
      </c>
      <c r="CA11" s="51">
        <f t="shared" si="30"/>
        <v>1</v>
      </c>
      <c r="CB11" s="17">
        <f>1030.8-CC11-CD11-CE11</f>
        <v>378.79999999999995</v>
      </c>
      <c r="CC11" s="18">
        <v>117.8</v>
      </c>
      <c r="CD11" s="18">
        <f>520-CC11</f>
        <v>402.2</v>
      </c>
      <c r="CE11" s="18">
        <f>652-CC11-CD11</f>
        <v>132.00000000000006</v>
      </c>
      <c r="CF11" s="71">
        <f t="shared" si="43"/>
        <v>1.0553500737455037</v>
      </c>
      <c r="CG11" s="51">
        <f aca="true" t="shared" si="46" ref="CG11:CG18">IF(AND(CF11&gt;=0.7,CF11&lt;=1.3),1,IF(OR(AND(CF11&gt;=0.5,CF11&lt;0.7),AND(CF11&gt;1.35,CF11&lt;=1.5)),0.5,0))</f>
        <v>1</v>
      </c>
      <c r="CH11" s="17">
        <v>0</v>
      </c>
      <c r="CI11" s="51">
        <f t="shared" si="20"/>
        <v>0</v>
      </c>
      <c r="CJ11" s="17"/>
      <c r="CK11" s="17"/>
      <c r="CL11" s="17"/>
      <c r="CM11" s="29"/>
      <c r="CN11" s="29">
        <f t="shared" si="31"/>
        <v>0</v>
      </c>
      <c r="CO11" s="29">
        <f t="shared" si="32"/>
        <v>1</v>
      </c>
      <c r="CP11" s="14">
        <v>0</v>
      </c>
      <c r="CQ11" s="96">
        <v>357.9</v>
      </c>
      <c r="CR11" s="31">
        <v>0</v>
      </c>
      <c r="CS11" s="31">
        <v>247.5</v>
      </c>
      <c r="CT11" s="58" t="e">
        <f t="shared" si="33"/>
        <v>#DIV/0!</v>
      </c>
      <c r="CU11" s="51">
        <f t="shared" si="34"/>
        <v>1</v>
      </c>
      <c r="CV11" s="47"/>
      <c r="CW11" s="51">
        <f t="shared" si="35"/>
        <v>0</v>
      </c>
      <c r="CX11" s="17">
        <v>1</v>
      </c>
      <c r="CY11" s="17">
        <v>1</v>
      </c>
      <c r="CZ11" s="17">
        <v>1</v>
      </c>
      <c r="DA11" s="17">
        <v>1</v>
      </c>
      <c r="DB11" s="17">
        <v>0</v>
      </c>
      <c r="DC11" s="41">
        <f t="shared" si="21"/>
        <v>4</v>
      </c>
      <c r="DD11" s="51">
        <f t="shared" si="44"/>
        <v>1</v>
      </c>
      <c r="DE11" s="29"/>
      <c r="DF11" s="51">
        <f t="shared" si="36"/>
        <v>0</v>
      </c>
      <c r="DG11" s="17"/>
      <c r="DH11" s="51">
        <f t="shared" si="45"/>
        <v>0</v>
      </c>
      <c r="DI11" s="17">
        <v>1</v>
      </c>
      <c r="DJ11" s="51">
        <f t="shared" si="37"/>
        <v>0.5</v>
      </c>
      <c r="DK11" s="17"/>
      <c r="DL11" s="51">
        <f t="shared" si="22"/>
        <v>0</v>
      </c>
      <c r="DM11" s="17">
        <v>1</v>
      </c>
      <c r="DN11" s="51">
        <f t="shared" si="23"/>
        <v>0.5</v>
      </c>
      <c r="DO11" s="17"/>
      <c r="DP11" s="51">
        <f>IF(ISBLANK(DO11),0,0.5)</f>
        <v>0</v>
      </c>
      <c r="DQ11" s="17"/>
      <c r="DR11" s="51">
        <f t="shared" si="24"/>
        <v>0</v>
      </c>
      <c r="DS11" s="17">
        <v>1</v>
      </c>
      <c r="DT11" s="51">
        <f>IF(ISBLANK(DS11),0,0.5)</f>
        <v>0.5</v>
      </c>
      <c r="DU11" s="17"/>
      <c r="DV11" s="51">
        <f t="shared" si="25"/>
        <v>0</v>
      </c>
      <c r="DW11" s="110">
        <f t="shared" si="38"/>
        <v>12.5</v>
      </c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</row>
    <row r="12" spans="1:150" ht="15" hidden="1">
      <c r="A12" s="81" t="s">
        <v>75</v>
      </c>
      <c r="B12" s="52">
        <v>19.4</v>
      </c>
      <c r="C12" s="28">
        <v>2068.6</v>
      </c>
      <c r="D12" s="63">
        <v>1686.4</v>
      </c>
      <c r="E12" s="44"/>
      <c r="F12" s="55">
        <f t="shared" si="26"/>
        <v>0.05075876504447935</v>
      </c>
      <c r="G12" s="41" t="s">
        <v>30</v>
      </c>
      <c r="H12" s="74">
        <f t="shared" si="0"/>
        <v>0</v>
      </c>
      <c r="I12" s="63"/>
      <c r="J12" s="65">
        <v>2040.4</v>
      </c>
      <c r="K12" s="76">
        <v>1681.7</v>
      </c>
      <c r="L12" s="18"/>
      <c r="M12" s="59">
        <f t="shared" si="1"/>
        <v>0</v>
      </c>
      <c r="N12" s="41" t="s">
        <v>32</v>
      </c>
      <c r="O12" s="61">
        <f>IF(M12&lt;=1,1,0)</f>
        <v>1</v>
      </c>
      <c r="P12" s="52"/>
      <c r="Q12" s="63"/>
      <c r="R12" s="58" t="e">
        <f t="shared" si="2"/>
        <v>#DIV/0!</v>
      </c>
      <c r="S12" s="41" t="s">
        <v>33</v>
      </c>
      <c r="T12" s="61">
        <f t="shared" si="27"/>
        <v>1</v>
      </c>
      <c r="U12" s="62"/>
      <c r="V12" s="79">
        <v>2087.9</v>
      </c>
      <c r="W12" s="63">
        <v>52.1</v>
      </c>
      <c r="X12" s="59">
        <f t="shared" si="39"/>
        <v>0</v>
      </c>
      <c r="Y12" s="60" t="s">
        <v>31</v>
      </c>
      <c r="Z12" s="61">
        <f t="shared" si="3"/>
        <v>1</v>
      </c>
      <c r="AA12" s="63"/>
      <c r="AB12" s="63">
        <v>19.4</v>
      </c>
      <c r="AC12" s="63"/>
      <c r="AD12" s="58">
        <f t="shared" si="4"/>
        <v>0</v>
      </c>
      <c r="AE12" s="41" t="s">
        <v>33</v>
      </c>
      <c r="AF12" s="51">
        <f t="shared" si="5"/>
        <v>1</v>
      </c>
      <c r="AG12" s="18">
        <v>687.3</v>
      </c>
      <c r="AH12" s="18">
        <v>837</v>
      </c>
      <c r="AI12" s="59">
        <f t="shared" si="6"/>
        <v>0.8211469534050179</v>
      </c>
      <c r="AJ12" s="41" t="s">
        <v>33</v>
      </c>
      <c r="AK12" s="51">
        <f t="shared" si="7"/>
        <v>1</v>
      </c>
      <c r="AL12" s="63">
        <v>446.2</v>
      </c>
      <c r="AM12" s="63">
        <v>461.6</v>
      </c>
      <c r="AN12" s="67">
        <f t="shared" si="8"/>
        <v>0.9666377816291161</v>
      </c>
      <c r="AO12" s="41" t="s">
        <v>33</v>
      </c>
      <c r="AP12" s="51">
        <f t="shared" si="9"/>
        <v>1</v>
      </c>
      <c r="AQ12" s="64">
        <v>9</v>
      </c>
      <c r="AR12" s="41" t="s">
        <v>133</v>
      </c>
      <c r="AS12" s="51">
        <f t="shared" si="40"/>
        <v>0</v>
      </c>
      <c r="AT12" s="18"/>
      <c r="AU12" s="18"/>
      <c r="AV12" s="18"/>
      <c r="AW12" s="18"/>
      <c r="AX12" s="60">
        <f t="shared" si="10"/>
        <v>0</v>
      </c>
      <c r="AY12" s="41">
        <v>0</v>
      </c>
      <c r="AZ12" s="51">
        <f t="shared" si="11"/>
        <v>0</v>
      </c>
      <c r="BA12" s="18"/>
      <c r="BB12" s="18"/>
      <c r="BC12" s="69" t="e">
        <f t="shared" si="41"/>
        <v>#DIV/0!</v>
      </c>
      <c r="BD12" s="41" t="s">
        <v>50</v>
      </c>
      <c r="BE12" s="51">
        <f t="shared" si="12"/>
        <v>1</v>
      </c>
      <c r="BF12" s="18"/>
      <c r="BG12" s="63">
        <f>V12-W12</f>
        <v>2035.8000000000002</v>
      </c>
      <c r="BH12" s="59">
        <f t="shared" si="13"/>
        <v>0</v>
      </c>
      <c r="BI12" s="61">
        <f t="shared" si="14"/>
        <v>-1</v>
      </c>
      <c r="BJ12" s="18">
        <v>0</v>
      </c>
      <c r="BK12" s="18">
        <v>1</v>
      </c>
      <c r="BL12" s="58">
        <f t="shared" si="15"/>
        <v>0</v>
      </c>
      <c r="BM12" s="51">
        <f t="shared" si="42"/>
        <v>-1</v>
      </c>
      <c r="BN12" s="18">
        <v>358.6</v>
      </c>
      <c r="BO12" s="18">
        <v>315.4</v>
      </c>
      <c r="BP12" s="59">
        <f t="shared" si="16"/>
        <v>1.1369689283449589</v>
      </c>
      <c r="BQ12" s="51">
        <f t="shared" si="28"/>
        <v>0.5</v>
      </c>
      <c r="BR12" s="97">
        <v>382.2</v>
      </c>
      <c r="BS12" s="100">
        <v>358.6</v>
      </c>
      <c r="BT12" s="99">
        <f t="shared" si="17"/>
        <v>1.0658114891243724</v>
      </c>
      <c r="BU12" s="51">
        <f t="shared" si="29"/>
        <v>0</v>
      </c>
      <c r="BV12" s="18">
        <v>358.6</v>
      </c>
      <c r="BW12" s="18">
        <v>360.2</v>
      </c>
      <c r="BX12" s="18">
        <v>277.9</v>
      </c>
      <c r="BY12" s="18">
        <v>447.8</v>
      </c>
      <c r="BZ12" s="59">
        <f t="shared" si="18"/>
        <v>1.604213324371591</v>
      </c>
      <c r="CA12" s="51">
        <f t="shared" si="30"/>
        <v>1</v>
      </c>
      <c r="CB12" s="18">
        <f>814.1-CC12-CD12-CE12</f>
        <v>242.5</v>
      </c>
      <c r="CC12" s="18">
        <v>104.5</v>
      </c>
      <c r="CD12" s="18">
        <f>338.2-CC12</f>
        <v>233.7</v>
      </c>
      <c r="CE12" s="18">
        <f>571.6-CC12-CD12</f>
        <v>233.40000000000003</v>
      </c>
      <c r="CF12" s="71">
        <f t="shared" si="43"/>
        <v>2.3175952484782973</v>
      </c>
      <c r="CG12" s="51">
        <f t="shared" si="46"/>
        <v>0</v>
      </c>
      <c r="CH12" s="18">
        <v>0</v>
      </c>
      <c r="CI12" s="51">
        <f t="shared" si="20"/>
        <v>0</v>
      </c>
      <c r="CJ12" s="18"/>
      <c r="CK12" s="18"/>
      <c r="CL12" s="18"/>
      <c r="CM12" s="18"/>
      <c r="CN12" s="29">
        <f t="shared" si="31"/>
        <v>0</v>
      </c>
      <c r="CO12" s="18">
        <f t="shared" si="32"/>
        <v>1</v>
      </c>
      <c r="CP12" s="52">
        <v>0</v>
      </c>
      <c r="CQ12" s="97">
        <v>382.2</v>
      </c>
      <c r="CR12" s="63">
        <v>0</v>
      </c>
      <c r="CS12" s="63">
        <v>274.2</v>
      </c>
      <c r="CT12" s="58" t="e">
        <f t="shared" si="33"/>
        <v>#DIV/0!</v>
      </c>
      <c r="CU12" s="51">
        <f t="shared" si="34"/>
        <v>1</v>
      </c>
      <c r="CV12" s="64"/>
      <c r="CW12" s="51">
        <f t="shared" si="35"/>
        <v>0</v>
      </c>
      <c r="CX12" s="18">
        <v>0</v>
      </c>
      <c r="CY12" s="18">
        <v>1</v>
      </c>
      <c r="CZ12" s="18">
        <v>0</v>
      </c>
      <c r="DA12" s="18">
        <v>1</v>
      </c>
      <c r="DB12" s="18">
        <v>0</v>
      </c>
      <c r="DC12" s="41">
        <f>CX12+CY12+CZ12+DA12+DB12</f>
        <v>2</v>
      </c>
      <c r="DD12" s="51">
        <f t="shared" si="44"/>
        <v>0</v>
      </c>
      <c r="DE12" s="29"/>
      <c r="DF12" s="51">
        <f t="shared" si="36"/>
        <v>0</v>
      </c>
      <c r="DG12" s="18"/>
      <c r="DH12" s="51">
        <f t="shared" si="45"/>
        <v>0</v>
      </c>
      <c r="DI12" s="18"/>
      <c r="DJ12" s="51">
        <f t="shared" si="37"/>
        <v>0</v>
      </c>
      <c r="DK12" s="18"/>
      <c r="DL12" s="51">
        <f t="shared" si="22"/>
        <v>0</v>
      </c>
      <c r="DM12" s="18"/>
      <c r="DN12" s="51">
        <f t="shared" si="23"/>
        <v>0</v>
      </c>
      <c r="DO12" s="18"/>
      <c r="DP12" s="51">
        <f aca="true" t="shared" si="47" ref="DP12:DP18">IF(ISBLANK(DO12),0,0.5)</f>
        <v>0</v>
      </c>
      <c r="DQ12" s="18"/>
      <c r="DR12" s="51">
        <f t="shared" si="24"/>
        <v>0</v>
      </c>
      <c r="DS12" s="18"/>
      <c r="DT12" s="51">
        <f aca="true" t="shared" si="48" ref="DT12:DT18">IF(ISBLANK(DS12),0,0.5)</f>
        <v>0</v>
      </c>
      <c r="DU12" s="18"/>
      <c r="DV12" s="51">
        <f t="shared" si="25"/>
        <v>0</v>
      </c>
      <c r="DW12" s="107">
        <f t="shared" si="38"/>
        <v>8.5</v>
      </c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6"/>
      <c r="EM12" s="6"/>
      <c r="EN12" s="6"/>
      <c r="EO12" s="6"/>
      <c r="EP12" s="6"/>
      <c r="EQ12" s="6"/>
      <c r="ER12" s="6"/>
      <c r="ES12" s="6"/>
      <c r="ET12" s="6"/>
    </row>
    <row r="13" spans="1:145" ht="15" hidden="1">
      <c r="A13" s="81" t="s">
        <v>78</v>
      </c>
      <c r="B13" s="14">
        <v>26</v>
      </c>
      <c r="C13" s="27">
        <v>1331.5</v>
      </c>
      <c r="D13" s="31">
        <v>728.5</v>
      </c>
      <c r="E13" s="28"/>
      <c r="F13" s="55">
        <f t="shared" si="26"/>
        <v>0.04311774461028192</v>
      </c>
      <c r="G13" s="41" t="s">
        <v>30</v>
      </c>
      <c r="H13" s="74">
        <f t="shared" si="0"/>
        <v>1</v>
      </c>
      <c r="I13" s="31"/>
      <c r="J13" s="15">
        <v>1292.8</v>
      </c>
      <c r="K13" s="75">
        <v>727.4</v>
      </c>
      <c r="L13" s="29"/>
      <c r="M13" s="56">
        <f t="shared" si="1"/>
        <v>0</v>
      </c>
      <c r="N13" s="41" t="s">
        <v>32</v>
      </c>
      <c r="O13" s="51">
        <f>IF(M13&lt;=0.5,1,0)</f>
        <v>1</v>
      </c>
      <c r="P13" s="14"/>
      <c r="Q13" s="31"/>
      <c r="R13" s="58" t="e">
        <f t="shared" si="2"/>
        <v>#DIV/0!</v>
      </c>
      <c r="S13" s="41" t="s">
        <v>33</v>
      </c>
      <c r="T13" s="51">
        <f t="shared" si="27"/>
        <v>1</v>
      </c>
      <c r="U13" s="16"/>
      <c r="V13" s="78">
        <v>1357.6</v>
      </c>
      <c r="W13" s="31">
        <v>116.2</v>
      </c>
      <c r="X13" s="58">
        <f t="shared" si="39"/>
        <v>0</v>
      </c>
      <c r="Y13" s="41" t="s">
        <v>31</v>
      </c>
      <c r="Z13" s="51">
        <f t="shared" si="3"/>
        <v>1</v>
      </c>
      <c r="AA13" s="80"/>
      <c r="AB13" s="31">
        <v>26</v>
      </c>
      <c r="AC13" s="31"/>
      <c r="AD13" s="58">
        <f t="shared" si="4"/>
        <v>0</v>
      </c>
      <c r="AE13" s="41" t="s">
        <v>33</v>
      </c>
      <c r="AF13" s="51">
        <f t="shared" si="5"/>
        <v>1</v>
      </c>
      <c r="AG13" s="17">
        <v>934.8</v>
      </c>
      <c r="AH13" s="17">
        <v>957</v>
      </c>
      <c r="AI13" s="58">
        <f t="shared" si="6"/>
        <v>0.9768025078369905</v>
      </c>
      <c r="AJ13" s="41" t="s">
        <v>33</v>
      </c>
      <c r="AK13" s="51">
        <f t="shared" si="7"/>
        <v>1</v>
      </c>
      <c r="AL13" s="31">
        <v>543.9</v>
      </c>
      <c r="AM13" s="31">
        <v>561.7</v>
      </c>
      <c r="AN13" s="66">
        <f>AL13/AM13</f>
        <v>0.9683104860245682</v>
      </c>
      <c r="AO13" s="41" t="s">
        <v>33</v>
      </c>
      <c r="AP13" s="51">
        <f t="shared" si="9"/>
        <v>1</v>
      </c>
      <c r="AQ13" s="47">
        <v>7</v>
      </c>
      <c r="AR13" s="41" t="s">
        <v>133</v>
      </c>
      <c r="AS13" s="51">
        <f t="shared" si="40"/>
        <v>0</v>
      </c>
      <c r="AT13" s="17"/>
      <c r="AU13" s="29"/>
      <c r="AV13" s="17"/>
      <c r="AW13" s="17"/>
      <c r="AX13" s="68">
        <f t="shared" si="10"/>
        <v>0</v>
      </c>
      <c r="AY13" s="41">
        <v>0</v>
      </c>
      <c r="AZ13" s="51">
        <f t="shared" si="11"/>
        <v>0</v>
      </c>
      <c r="BA13" s="17"/>
      <c r="BB13" s="17"/>
      <c r="BC13" s="69" t="e">
        <f t="shared" si="41"/>
        <v>#DIV/0!</v>
      </c>
      <c r="BD13" s="41" t="s">
        <v>50</v>
      </c>
      <c r="BE13" s="51">
        <f t="shared" si="12"/>
        <v>1</v>
      </c>
      <c r="BF13" s="18"/>
      <c r="BG13" s="63">
        <f aca="true" t="shared" si="49" ref="BG13:BG18">V13-W13</f>
        <v>1241.3999999999999</v>
      </c>
      <c r="BH13" s="59">
        <f t="shared" si="13"/>
        <v>0</v>
      </c>
      <c r="BI13" s="51">
        <f t="shared" si="14"/>
        <v>-1</v>
      </c>
      <c r="BJ13" s="17">
        <v>0</v>
      </c>
      <c r="BK13" s="17">
        <v>1</v>
      </c>
      <c r="BL13" s="58">
        <f t="shared" si="15"/>
        <v>0</v>
      </c>
      <c r="BM13" s="51">
        <f t="shared" si="42"/>
        <v>-1</v>
      </c>
      <c r="BN13" s="17">
        <v>565.4</v>
      </c>
      <c r="BO13" s="17">
        <v>518.9</v>
      </c>
      <c r="BP13" s="58">
        <f t="shared" si="16"/>
        <v>1.0896126421275776</v>
      </c>
      <c r="BQ13" s="51">
        <f>IF(AND(BP13&gt;=0.95,BP13&lt;=1.05),1,IF(OR(AND(BP13&gt;=0.85,BP13&lt;0.95),AND(BP13&gt;1.05,BP13&lt;=1.15)),0.5,0))</f>
        <v>0.5</v>
      </c>
      <c r="BR13" s="96">
        <v>603</v>
      </c>
      <c r="BS13" s="100">
        <v>565.4</v>
      </c>
      <c r="BT13" s="98">
        <f t="shared" si="17"/>
        <v>1.0665015917934206</v>
      </c>
      <c r="BU13" s="51">
        <f t="shared" si="29"/>
        <v>0</v>
      </c>
      <c r="BV13" s="17">
        <v>565.4</v>
      </c>
      <c r="BW13" s="18">
        <v>580.2</v>
      </c>
      <c r="BX13" s="17">
        <v>444.4</v>
      </c>
      <c r="BY13" s="17">
        <v>678.6</v>
      </c>
      <c r="BZ13" s="58">
        <f t="shared" si="18"/>
        <v>1.488051235320016</v>
      </c>
      <c r="CA13" s="51">
        <f t="shared" si="30"/>
        <v>1</v>
      </c>
      <c r="CB13" s="17">
        <f>1226-CC13-CD13-CE13</f>
        <v>307.79999999999984</v>
      </c>
      <c r="CC13" s="18">
        <v>181.9</v>
      </c>
      <c r="CD13" s="18">
        <f>522.3-CC13</f>
        <v>340.4</v>
      </c>
      <c r="CE13" s="18">
        <f>918.2-CC13-CD13</f>
        <v>395.9000000000001</v>
      </c>
      <c r="CF13" s="71">
        <f t="shared" si="43"/>
        <v>1.968030690537084</v>
      </c>
      <c r="CG13" s="51">
        <f t="shared" si="46"/>
        <v>0</v>
      </c>
      <c r="CH13" s="17">
        <v>0</v>
      </c>
      <c r="CI13" s="51">
        <f t="shared" si="20"/>
        <v>0</v>
      </c>
      <c r="CJ13" s="17"/>
      <c r="CK13" s="17"/>
      <c r="CL13" s="17"/>
      <c r="CM13" s="29"/>
      <c r="CN13" s="29">
        <f t="shared" si="31"/>
        <v>0</v>
      </c>
      <c r="CO13" s="29">
        <f t="shared" si="32"/>
        <v>1</v>
      </c>
      <c r="CP13" s="14">
        <v>0</v>
      </c>
      <c r="CQ13" s="96">
        <v>603</v>
      </c>
      <c r="CR13" s="31">
        <v>0</v>
      </c>
      <c r="CS13" s="31">
        <v>478.3</v>
      </c>
      <c r="CT13" s="58" t="e">
        <f t="shared" si="33"/>
        <v>#DIV/0!</v>
      </c>
      <c r="CU13" s="51">
        <f t="shared" si="34"/>
        <v>1</v>
      </c>
      <c r="CV13" s="47"/>
      <c r="CW13" s="51">
        <f t="shared" si="35"/>
        <v>0</v>
      </c>
      <c r="CX13" s="17">
        <v>1</v>
      </c>
      <c r="CY13" s="17">
        <v>1</v>
      </c>
      <c r="CZ13" s="17">
        <v>1</v>
      </c>
      <c r="DA13" s="17">
        <v>1</v>
      </c>
      <c r="DB13" s="17">
        <v>1</v>
      </c>
      <c r="DC13" s="41">
        <f t="shared" si="21"/>
        <v>5</v>
      </c>
      <c r="DD13" s="51">
        <f t="shared" si="44"/>
        <v>1</v>
      </c>
      <c r="DE13" s="29"/>
      <c r="DF13" s="51">
        <f t="shared" si="36"/>
        <v>0</v>
      </c>
      <c r="DG13" s="17"/>
      <c r="DH13" s="51">
        <f t="shared" si="45"/>
        <v>0</v>
      </c>
      <c r="DI13" s="72">
        <v>1</v>
      </c>
      <c r="DJ13" s="51">
        <f t="shared" si="37"/>
        <v>0.5</v>
      </c>
      <c r="DK13" s="72"/>
      <c r="DL13" s="51">
        <f t="shared" si="22"/>
        <v>0</v>
      </c>
      <c r="DM13" s="17">
        <v>1</v>
      </c>
      <c r="DN13" s="51">
        <f t="shared" si="23"/>
        <v>0.5</v>
      </c>
      <c r="DO13" s="17"/>
      <c r="DP13" s="51">
        <f t="shared" si="47"/>
        <v>0</v>
      </c>
      <c r="DQ13" s="17"/>
      <c r="DR13" s="51">
        <f t="shared" si="24"/>
        <v>0</v>
      </c>
      <c r="DS13" s="17">
        <v>1</v>
      </c>
      <c r="DT13" s="51">
        <f t="shared" si="48"/>
        <v>0.5</v>
      </c>
      <c r="DU13" s="17"/>
      <c r="DV13" s="51">
        <f t="shared" si="25"/>
        <v>0</v>
      </c>
      <c r="DW13" s="108">
        <f t="shared" si="38"/>
        <v>12</v>
      </c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</row>
    <row r="14" spans="1:145" ht="15" hidden="1">
      <c r="A14" s="81" t="s">
        <v>79</v>
      </c>
      <c r="B14" s="14">
        <v>22.1</v>
      </c>
      <c r="C14" s="27">
        <v>2351.2</v>
      </c>
      <c r="D14" s="31">
        <v>2012.6</v>
      </c>
      <c r="E14" s="28"/>
      <c r="F14" s="55">
        <f t="shared" si="26"/>
        <v>0.06526875369167161</v>
      </c>
      <c r="G14" s="41" t="s">
        <v>30</v>
      </c>
      <c r="H14" s="74">
        <f t="shared" si="0"/>
        <v>0</v>
      </c>
      <c r="I14" s="31"/>
      <c r="J14" s="15">
        <v>2343.9</v>
      </c>
      <c r="K14" s="75">
        <v>2012.6</v>
      </c>
      <c r="L14" s="29"/>
      <c r="M14" s="56">
        <f t="shared" si="1"/>
        <v>0</v>
      </c>
      <c r="N14" s="41" t="s">
        <v>32</v>
      </c>
      <c r="O14" s="51">
        <f>IF(M14&lt;=0.5,1,0)</f>
        <v>1</v>
      </c>
      <c r="P14" s="14"/>
      <c r="Q14" s="31"/>
      <c r="R14" s="58" t="e">
        <f t="shared" si="2"/>
        <v>#DIV/0!</v>
      </c>
      <c r="S14" s="41" t="s">
        <v>33</v>
      </c>
      <c r="T14" s="51">
        <f t="shared" si="27"/>
        <v>1</v>
      </c>
      <c r="U14" s="16"/>
      <c r="V14" s="78">
        <v>2373.4</v>
      </c>
      <c r="W14" s="31">
        <v>51</v>
      </c>
      <c r="X14" s="58">
        <f t="shared" si="39"/>
        <v>0</v>
      </c>
      <c r="Y14" s="41" t="s">
        <v>31</v>
      </c>
      <c r="Z14" s="51">
        <f t="shared" si="3"/>
        <v>1</v>
      </c>
      <c r="AA14" s="80"/>
      <c r="AB14" s="31">
        <v>22.1</v>
      </c>
      <c r="AC14" s="31"/>
      <c r="AD14" s="58">
        <f t="shared" si="4"/>
        <v>0</v>
      </c>
      <c r="AE14" s="41" t="s">
        <v>33</v>
      </c>
      <c r="AF14" s="51">
        <f t="shared" si="5"/>
        <v>1</v>
      </c>
      <c r="AG14" s="17">
        <v>661.3</v>
      </c>
      <c r="AH14" s="17">
        <v>835</v>
      </c>
      <c r="AI14" s="58">
        <f t="shared" si="6"/>
        <v>0.7919760479041915</v>
      </c>
      <c r="AJ14" s="41" t="s">
        <v>33</v>
      </c>
      <c r="AK14" s="51">
        <f t="shared" si="7"/>
        <v>1</v>
      </c>
      <c r="AL14" s="31">
        <v>392.4</v>
      </c>
      <c r="AM14" s="31">
        <v>396.7</v>
      </c>
      <c r="AN14" s="66">
        <f t="shared" si="8"/>
        <v>0.9891605747416183</v>
      </c>
      <c r="AO14" s="41" t="s">
        <v>33</v>
      </c>
      <c r="AP14" s="51">
        <f t="shared" si="9"/>
        <v>1</v>
      </c>
      <c r="AQ14" s="47">
        <v>10</v>
      </c>
      <c r="AR14" s="41" t="s">
        <v>133</v>
      </c>
      <c r="AS14" s="51">
        <f t="shared" si="40"/>
        <v>0</v>
      </c>
      <c r="AT14" s="17"/>
      <c r="AU14" s="29"/>
      <c r="AV14" s="17"/>
      <c r="AW14" s="17"/>
      <c r="AX14" s="68">
        <f t="shared" si="10"/>
        <v>0</v>
      </c>
      <c r="AY14" s="41">
        <v>0</v>
      </c>
      <c r="AZ14" s="51">
        <f t="shared" si="11"/>
        <v>0</v>
      </c>
      <c r="BA14" s="17"/>
      <c r="BB14" s="17"/>
      <c r="BC14" s="69" t="e">
        <f t="shared" si="41"/>
        <v>#DIV/0!</v>
      </c>
      <c r="BD14" s="41" t="s">
        <v>50</v>
      </c>
      <c r="BE14" s="51">
        <f t="shared" si="12"/>
        <v>1</v>
      </c>
      <c r="BF14" s="17"/>
      <c r="BG14" s="63">
        <f t="shared" si="49"/>
        <v>2322.4</v>
      </c>
      <c r="BH14" s="59">
        <f t="shared" si="13"/>
        <v>0</v>
      </c>
      <c r="BI14" s="51">
        <f t="shared" si="14"/>
        <v>-1</v>
      </c>
      <c r="BJ14" s="17">
        <v>0</v>
      </c>
      <c r="BK14" s="17">
        <v>1</v>
      </c>
      <c r="BL14" s="58">
        <f t="shared" si="15"/>
        <v>0</v>
      </c>
      <c r="BM14" s="51">
        <f t="shared" si="42"/>
        <v>-1</v>
      </c>
      <c r="BN14" s="17">
        <v>331.3</v>
      </c>
      <c r="BO14" s="17">
        <v>147.9</v>
      </c>
      <c r="BP14" s="58">
        <f t="shared" si="16"/>
        <v>2.240027045300879</v>
      </c>
      <c r="BQ14" s="51">
        <f t="shared" si="28"/>
        <v>0</v>
      </c>
      <c r="BR14" s="96">
        <v>338.6</v>
      </c>
      <c r="BS14" s="100">
        <v>331.3</v>
      </c>
      <c r="BT14" s="98">
        <f t="shared" si="17"/>
        <v>1.0220344099003924</v>
      </c>
      <c r="BU14" s="51">
        <f t="shared" si="29"/>
        <v>0</v>
      </c>
      <c r="BV14" s="17">
        <v>331.3</v>
      </c>
      <c r="BW14" s="18">
        <v>677</v>
      </c>
      <c r="BX14" s="17">
        <v>151</v>
      </c>
      <c r="BY14" s="17">
        <v>496.3</v>
      </c>
      <c r="BZ14" s="58">
        <f t="shared" si="18"/>
        <v>1.6084223346082738</v>
      </c>
      <c r="CA14" s="51">
        <f t="shared" si="30"/>
        <v>1</v>
      </c>
      <c r="CB14" s="17">
        <f>1199.9-CC14-CD14-CE14</f>
        <v>318.9000000000002</v>
      </c>
      <c r="CC14" s="18">
        <v>174.1</v>
      </c>
      <c r="CD14" s="18">
        <f>478.8-CC14</f>
        <v>304.70000000000005</v>
      </c>
      <c r="CE14" s="18">
        <f>881-CC14-CD14</f>
        <v>402.19999999999993</v>
      </c>
      <c r="CF14" s="71">
        <f t="shared" si="43"/>
        <v>2.4178277632804996</v>
      </c>
      <c r="CG14" s="51">
        <f t="shared" si="46"/>
        <v>0</v>
      </c>
      <c r="CH14" s="17">
        <v>0</v>
      </c>
      <c r="CI14" s="51">
        <f t="shared" si="20"/>
        <v>0</v>
      </c>
      <c r="CJ14" s="17"/>
      <c r="CK14" s="17"/>
      <c r="CL14" s="17"/>
      <c r="CM14" s="29"/>
      <c r="CN14" s="29">
        <f t="shared" si="31"/>
        <v>0</v>
      </c>
      <c r="CO14" s="29">
        <f t="shared" si="32"/>
        <v>1</v>
      </c>
      <c r="CP14" s="14">
        <v>0</v>
      </c>
      <c r="CQ14" s="96">
        <v>338.6</v>
      </c>
      <c r="CR14" s="31">
        <v>0</v>
      </c>
      <c r="CS14" s="31">
        <v>158.7</v>
      </c>
      <c r="CT14" s="58" t="e">
        <f t="shared" si="33"/>
        <v>#DIV/0!</v>
      </c>
      <c r="CU14" s="51">
        <f t="shared" si="34"/>
        <v>1</v>
      </c>
      <c r="CV14" s="47"/>
      <c r="CW14" s="51">
        <f t="shared" si="35"/>
        <v>0</v>
      </c>
      <c r="CX14" s="17">
        <v>1</v>
      </c>
      <c r="CY14" s="17">
        <v>1</v>
      </c>
      <c r="CZ14" s="17">
        <v>1</v>
      </c>
      <c r="DA14" s="17">
        <v>1</v>
      </c>
      <c r="DB14" s="17">
        <v>0</v>
      </c>
      <c r="DC14" s="41">
        <f t="shared" si="21"/>
        <v>4</v>
      </c>
      <c r="DD14" s="51">
        <f t="shared" si="44"/>
        <v>1</v>
      </c>
      <c r="DE14" s="29"/>
      <c r="DF14" s="51">
        <f t="shared" si="36"/>
        <v>0</v>
      </c>
      <c r="DG14" s="17"/>
      <c r="DH14" s="51">
        <f t="shared" si="45"/>
        <v>0</v>
      </c>
      <c r="DI14" s="17"/>
      <c r="DJ14" s="51">
        <f t="shared" si="37"/>
        <v>0</v>
      </c>
      <c r="DK14" s="17"/>
      <c r="DL14" s="51">
        <f t="shared" si="22"/>
        <v>0</v>
      </c>
      <c r="DM14" s="17">
        <v>1</v>
      </c>
      <c r="DN14" s="51">
        <f t="shared" si="23"/>
        <v>0.5</v>
      </c>
      <c r="DO14" s="17"/>
      <c r="DP14" s="51">
        <f t="shared" si="47"/>
        <v>0</v>
      </c>
      <c r="DQ14" s="17"/>
      <c r="DR14" s="51">
        <f t="shared" si="24"/>
        <v>0</v>
      </c>
      <c r="DS14" s="17">
        <v>1</v>
      </c>
      <c r="DT14" s="51">
        <f t="shared" si="48"/>
        <v>0.5</v>
      </c>
      <c r="DU14" s="17"/>
      <c r="DV14" s="51">
        <f t="shared" si="25"/>
        <v>0</v>
      </c>
      <c r="DW14" s="102">
        <f t="shared" si="38"/>
        <v>10</v>
      </c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</row>
    <row r="15" spans="1:145" ht="15" hidden="1">
      <c r="A15" s="81" t="s">
        <v>80</v>
      </c>
      <c r="B15" s="14"/>
      <c r="C15" s="27">
        <v>1201.1</v>
      </c>
      <c r="D15" s="31">
        <v>616.1</v>
      </c>
      <c r="E15" s="28"/>
      <c r="F15" s="55">
        <f>(B15)/(C15-D15-E15)</f>
        <v>0</v>
      </c>
      <c r="G15" s="41" t="s">
        <v>30</v>
      </c>
      <c r="H15" s="74">
        <f t="shared" si="0"/>
        <v>1</v>
      </c>
      <c r="I15" s="31"/>
      <c r="J15" s="15">
        <v>1110.9</v>
      </c>
      <c r="K15" s="75">
        <v>608.1</v>
      </c>
      <c r="L15" s="29"/>
      <c r="M15" s="56">
        <f t="shared" si="1"/>
        <v>0</v>
      </c>
      <c r="N15" s="41" t="s">
        <v>32</v>
      </c>
      <c r="O15" s="51">
        <f>IF(M15&lt;=1,1,0)</f>
        <v>1</v>
      </c>
      <c r="P15" s="14"/>
      <c r="Q15" s="31"/>
      <c r="R15" s="58" t="e">
        <f t="shared" si="2"/>
        <v>#DIV/0!</v>
      </c>
      <c r="S15" s="41" t="s">
        <v>33</v>
      </c>
      <c r="T15" s="51">
        <f t="shared" si="27"/>
        <v>1</v>
      </c>
      <c r="U15" s="16"/>
      <c r="V15" s="78">
        <v>1116.1</v>
      </c>
      <c r="W15" s="31">
        <v>55.2</v>
      </c>
      <c r="X15" s="58">
        <f t="shared" si="39"/>
        <v>0</v>
      </c>
      <c r="Y15" s="41" t="s">
        <v>31</v>
      </c>
      <c r="Z15" s="51">
        <f t="shared" si="3"/>
        <v>1</v>
      </c>
      <c r="AA15" s="31"/>
      <c r="AB15" s="31"/>
      <c r="AC15" s="31"/>
      <c r="AD15" s="58" t="e">
        <f>AA15/(AB15+AC15)</f>
        <v>#DIV/0!</v>
      </c>
      <c r="AE15" s="41" t="s">
        <v>33</v>
      </c>
      <c r="AF15" s="51">
        <f t="shared" si="5"/>
        <v>1</v>
      </c>
      <c r="AG15" s="17">
        <v>708.2</v>
      </c>
      <c r="AH15" s="17">
        <v>837</v>
      </c>
      <c r="AI15" s="58">
        <f t="shared" si="6"/>
        <v>0.8461170848267623</v>
      </c>
      <c r="AJ15" s="41" t="s">
        <v>33</v>
      </c>
      <c r="AK15" s="51">
        <f t="shared" si="7"/>
        <v>1</v>
      </c>
      <c r="AL15" s="31">
        <v>453.5</v>
      </c>
      <c r="AM15" s="31">
        <v>460.3</v>
      </c>
      <c r="AN15" s="66">
        <f t="shared" si="8"/>
        <v>0.9852270258527047</v>
      </c>
      <c r="AO15" s="41" t="s">
        <v>33</v>
      </c>
      <c r="AP15" s="51">
        <f t="shared" si="9"/>
        <v>1</v>
      </c>
      <c r="AQ15" s="47">
        <v>9</v>
      </c>
      <c r="AR15" s="41" t="s">
        <v>133</v>
      </c>
      <c r="AS15" s="51">
        <f t="shared" si="40"/>
        <v>0</v>
      </c>
      <c r="AT15" s="17"/>
      <c r="AU15" s="29"/>
      <c r="AV15" s="17"/>
      <c r="AW15" s="17"/>
      <c r="AX15" s="68">
        <f t="shared" si="10"/>
        <v>0</v>
      </c>
      <c r="AY15" s="41">
        <v>0</v>
      </c>
      <c r="AZ15" s="51">
        <f t="shared" si="11"/>
        <v>0</v>
      </c>
      <c r="BA15" s="17"/>
      <c r="BB15" s="17"/>
      <c r="BC15" s="69" t="e">
        <f t="shared" si="41"/>
        <v>#DIV/0!</v>
      </c>
      <c r="BD15" s="41" t="s">
        <v>50</v>
      </c>
      <c r="BE15" s="51">
        <f t="shared" si="12"/>
        <v>1</v>
      </c>
      <c r="BF15" s="17"/>
      <c r="BG15" s="63">
        <f t="shared" si="49"/>
        <v>1060.8999999999999</v>
      </c>
      <c r="BH15" s="59">
        <f t="shared" si="13"/>
        <v>0</v>
      </c>
      <c r="BI15" s="51">
        <f t="shared" si="14"/>
        <v>-1</v>
      </c>
      <c r="BJ15" s="17">
        <v>0</v>
      </c>
      <c r="BK15" s="17">
        <v>1</v>
      </c>
      <c r="BL15" s="58">
        <f t="shared" si="15"/>
        <v>0</v>
      </c>
      <c r="BM15" s="51">
        <f t="shared" si="42"/>
        <v>-1</v>
      </c>
      <c r="BN15" s="17">
        <v>502.8</v>
      </c>
      <c r="BO15" s="17">
        <v>216.6</v>
      </c>
      <c r="BP15" s="58">
        <f t="shared" si="16"/>
        <v>2.3213296398891967</v>
      </c>
      <c r="BQ15" s="51">
        <f t="shared" si="28"/>
        <v>0</v>
      </c>
      <c r="BR15" s="96">
        <v>585</v>
      </c>
      <c r="BS15" s="100">
        <v>502.8</v>
      </c>
      <c r="BT15" s="98">
        <f t="shared" si="17"/>
        <v>1.1634844868735084</v>
      </c>
      <c r="BU15" s="51">
        <f t="shared" si="29"/>
        <v>0</v>
      </c>
      <c r="BV15" s="17">
        <v>502.8</v>
      </c>
      <c r="BW15" s="18">
        <v>499.8</v>
      </c>
      <c r="BX15" s="17">
        <v>274.4</v>
      </c>
      <c r="BY15" s="17">
        <v>441.7</v>
      </c>
      <c r="BZ15" s="58">
        <f t="shared" si="18"/>
        <v>1.619355905627557</v>
      </c>
      <c r="CA15" s="51">
        <f t="shared" si="30"/>
        <v>1</v>
      </c>
      <c r="CB15" s="17">
        <f>1038-CC15-CD15-CE15</f>
        <v>362.5</v>
      </c>
      <c r="CC15" s="18">
        <v>142.1</v>
      </c>
      <c r="CD15" s="18">
        <f>436.9-CC15</f>
        <v>294.79999999999995</v>
      </c>
      <c r="CE15" s="18">
        <f>675.5-CC15-CD15</f>
        <v>238.60000000000002</v>
      </c>
      <c r="CF15" s="71">
        <f t="shared" si="43"/>
        <v>2.064699692631463</v>
      </c>
      <c r="CG15" s="51">
        <f t="shared" si="46"/>
        <v>0</v>
      </c>
      <c r="CH15" s="17">
        <v>0</v>
      </c>
      <c r="CI15" s="51">
        <f t="shared" si="20"/>
        <v>0</v>
      </c>
      <c r="CJ15" s="17"/>
      <c r="CK15" s="17"/>
      <c r="CL15" s="17"/>
      <c r="CM15" s="29"/>
      <c r="CN15" s="29">
        <f t="shared" si="31"/>
        <v>0</v>
      </c>
      <c r="CO15" s="29">
        <f t="shared" si="32"/>
        <v>1</v>
      </c>
      <c r="CP15" s="14">
        <v>0</v>
      </c>
      <c r="CQ15" s="96">
        <v>585</v>
      </c>
      <c r="CR15" s="31">
        <v>0</v>
      </c>
      <c r="CS15" s="31">
        <v>297.7</v>
      </c>
      <c r="CT15" s="58" t="e">
        <f t="shared" si="33"/>
        <v>#DIV/0!</v>
      </c>
      <c r="CU15" s="51">
        <f t="shared" si="34"/>
        <v>1</v>
      </c>
      <c r="CV15" s="47"/>
      <c r="CW15" s="51">
        <f t="shared" si="35"/>
        <v>0</v>
      </c>
      <c r="CX15" s="17">
        <v>1</v>
      </c>
      <c r="CY15" s="17">
        <v>1</v>
      </c>
      <c r="CZ15" s="17">
        <v>1</v>
      </c>
      <c r="DA15" s="17">
        <v>1</v>
      </c>
      <c r="DB15" s="17">
        <v>1</v>
      </c>
      <c r="DC15" s="41">
        <f t="shared" si="21"/>
        <v>5</v>
      </c>
      <c r="DD15" s="51">
        <f t="shared" si="44"/>
        <v>1</v>
      </c>
      <c r="DE15" s="29"/>
      <c r="DF15" s="51">
        <f t="shared" si="36"/>
        <v>0</v>
      </c>
      <c r="DG15" s="17"/>
      <c r="DH15" s="51">
        <f t="shared" si="45"/>
        <v>0</v>
      </c>
      <c r="DI15" s="17"/>
      <c r="DJ15" s="51">
        <f t="shared" si="37"/>
        <v>0</v>
      </c>
      <c r="DK15" s="17"/>
      <c r="DL15" s="51">
        <f t="shared" si="22"/>
        <v>0</v>
      </c>
      <c r="DM15" s="17">
        <v>1</v>
      </c>
      <c r="DN15" s="51">
        <f t="shared" si="23"/>
        <v>0.5</v>
      </c>
      <c r="DO15" s="17"/>
      <c r="DP15" s="51">
        <f t="shared" si="47"/>
        <v>0</v>
      </c>
      <c r="DQ15" s="17"/>
      <c r="DR15" s="51">
        <f t="shared" si="24"/>
        <v>0</v>
      </c>
      <c r="DS15" s="17">
        <v>1</v>
      </c>
      <c r="DT15" s="51">
        <f t="shared" si="48"/>
        <v>0.5</v>
      </c>
      <c r="DU15" s="17"/>
      <c r="DV15" s="51">
        <f t="shared" si="25"/>
        <v>0</v>
      </c>
      <c r="DW15" s="102">
        <f t="shared" si="38"/>
        <v>11</v>
      </c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</row>
    <row r="16" spans="1:145" ht="15" hidden="1">
      <c r="A16" s="81" t="s">
        <v>81</v>
      </c>
      <c r="B16" s="14"/>
      <c r="C16" s="27">
        <v>1356.7</v>
      </c>
      <c r="D16" s="31">
        <v>822.2</v>
      </c>
      <c r="E16" s="28"/>
      <c r="F16" s="55">
        <f t="shared" si="26"/>
        <v>0</v>
      </c>
      <c r="G16" s="41" t="s">
        <v>30</v>
      </c>
      <c r="H16" s="74">
        <f t="shared" si="0"/>
        <v>1</v>
      </c>
      <c r="I16" s="31"/>
      <c r="J16" s="15">
        <v>1235.1</v>
      </c>
      <c r="K16" s="75">
        <v>822.2</v>
      </c>
      <c r="L16" s="29"/>
      <c r="M16" s="56">
        <f t="shared" si="1"/>
        <v>0</v>
      </c>
      <c r="N16" s="41" t="s">
        <v>32</v>
      </c>
      <c r="O16" s="51">
        <f>IF(M16&lt;=1,1,0)</f>
        <v>1</v>
      </c>
      <c r="P16" s="14"/>
      <c r="Q16" s="31"/>
      <c r="R16" s="58" t="e">
        <f t="shared" si="2"/>
        <v>#DIV/0!</v>
      </c>
      <c r="S16" s="41" t="s">
        <v>33</v>
      </c>
      <c r="T16" s="51">
        <f t="shared" si="27"/>
        <v>1</v>
      </c>
      <c r="U16" s="16"/>
      <c r="V16" s="78">
        <v>1283.3</v>
      </c>
      <c r="W16" s="31">
        <v>47.6</v>
      </c>
      <c r="X16" s="58">
        <f t="shared" si="39"/>
        <v>0</v>
      </c>
      <c r="Y16" s="41" t="s">
        <v>31</v>
      </c>
      <c r="Z16" s="51">
        <f t="shared" si="3"/>
        <v>1</v>
      </c>
      <c r="AA16" s="31"/>
      <c r="AB16" s="31"/>
      <c r="AC16" s="31"/>
      <c r="AD16" s="58" t="e">
        <f t="shared" si="4"/>
        <v>#DIV/0!</v>
      </c>
      <c r="AE16" s="41" t="s">
        <v>33</v>
      </c>
      <c r="AF16" s="51">
        <f t="shared" si="5"/>
        <v>1</v>
      </c>
      <c r="AG16" s="17">
        <v>955.7</v>
      </c>
      <c r="AH16" s="17">
        <v>956</v>
      </c>
      <c r="AI16" s="58">
        <f t="shared" si="6"/>
        <v>0.9996861924686193</v>
      </c>
      <c r="AJ16" s="41" t="s">
        <v>33</v>
      </c>
      <c r="AK16" s="51">
        <f t="shared" si="7"/>
        <v>1</v>
      </c>
      <c r="AL16" s="31">
        <v>499.4</v>
      </c>
      <c r="AM16" s="31">
        <v>505.2</v>
      </c>
      <c r="AN16" s="66">
        <f t="shared" si="8"/>
        <v>0.9885193982581155</v>
      </c>
      <c r="AO16" s="41" t="s">
        <v>33</v>
      </c>
      <c r="AP16" s="51">
        <f t="shared" si="9"/>
        <v>1</v>
      </c>
      <c r="AQ16" s="47">
        <v>7</v>
      </c>
      <c r="AR16" s="41" t="s">
        <v>133</v>
      </c>
      <c r="AS16" s="51">
        <f t="shared" si="40"/>
        <v>0</v>
      </c>
      <c r="AT16" s="17"/>
      <c r="AU16" s="29"/>
      <c r="AV16" s="17"/>
      <c r="AW16" s="17"/>
      <c r="AX16" s="68">
        <f t="shared" si="10"/>
        <v>0</v>
      </c>
      <c r="AY16" s="41">
        <v>0</v>
      </c>
      <c r="AZ16" s="51">
        <f t="shared" si="11"/>
        <v>0</v>
      </c>
      <c r="BA16" s="17"/>
      <c r="BB16" s="17"/>
      <c r="BC16" s="69" t="e">
        <f t="shared" si="41"/>
        <v>#DIV/0!</v>
      </c>
      <c r="BD16" s="41" t="s">
        <v>50</v>
      </c>
      <c r="BE16" s="51">
        <f t="shared" si="12"/>
        <v>1</v>
      </c>
      <c r="BF16" s="17"/>
      <c r="BG16" s="63">
        <f t="shared" si="49"/>
        <v>1235.7</v>
      </c>
      <c r="BH16" s="59">
        <f t="shared" si="13"/>
        <v>0</v>
      </c>
      <c r="BI16" s="51">
        <f t="shared" si="14"/>
        <v>-1</v>
      </c>
      <c r="BJ16" s="17">
        <v>0</v>
      </c>
      <c r="BK16" s="17">
        <v>1</v>
      </c>
      <c r="BL16" s="58">
        <f t="shared" si="15"/>
        <v>0</v>
      </c>
      <c r="BM16" s="51">
        <f t="shared" si="42"/>
        <v>-1</v>
      </c>
      <c r="BN16" s="17">
        <v>412.9</v>
      </c>
      <c r="BO16" s="17">
        <v>292.8</v>
      </c>
      <c r="BP16" s="58">
        <f t="shared" si="16"/>
        <v>1.4101775956284153</v>
      </c>
      <c r="BQ16" s="51">
        <f t="shared" si="28"/>
        <v>0</v>
      </c>
      <c r="BR16" s="96">
        <v>534.4</v>
      </c>
      <c r="BS16" s="100">
        <v>412.9</v>
      </c>
      <c r="BT16" s="98">
        <f t="shared" si="17"/>
        <v>1.2942601114071204</v>
      </c>
      <c r="BU16" s="51">
        <f t="shared" si="29"/>
        <v>0</v>
      </c>
      <c r="BV16" s="17">
        <v>412.9</v>
      </c>
      <c r="BW16" s="18">
        <v>652.8</v>
      </c>
      <c r="BX16" s="17">
        <v>337.1</v>
      </c>
      <c r="BY16" s="17">
        <v>467.4</v>
      </c>
      <c r="BZ16" s="58">
        <f t="shared" si="18"/>
        <v>0.8769901037395083</v>
      </c>
      <c r="CA16" s="51">
        <f t="shared" si="30"/>
        <v>0</v>
      </c>
      <c r="CB16" s="17">
        <f>1215.9-CC16-CD16-CE16</f>
        <v>452.90000000000015</v>
      </c>
      <c r="CC16" s="18">
        <v>180.3</v>
      </c>
      <c r="CD16" s="18">
        <f>570.4-CC16</f>
        <v>390.09999999999997</v>
      </c>
      <c r="CE16" s="18">
        <f>763-CC16-CD16</f>
        <v>192.60000000000008</v>
      </c>
      <c r="CF16" s="71">
        <f t="shared" si="43"/>
        <v>1.240186291240653</v>
      </c>
      <c r="CG16" s="51">
        <f t="shared" si="46"/>
        <v>1</v>
      </c>
      <c r="CH16" s="17">
        <v>0</v>
      </c>
      <c r="CI16" s="51">
        <f t="shared" si="20"/>
        <v>0</v>
      </c>
      <c r="CJ16" s="17"/>
      <c r="CK16" s="17"/>
      <c r="CL16" s="17"/>
      <c r="CM16" s="29"/>
      <c r="CN16" s="29">
        <f t="shared" si="31"/>
        <v>0</v>
      </c>
      <c r="CO16" s="29">
        <f t="shared" si="32"/>
        <v>1</v>
      </c>
      <c r="CP16" s="14">
        <v>0</v>
      </c>
      <c r="CQ16" s="96">
        <v>534.4</v>
      </c>
      <c r="CR16" s="31">
        <v>0</v>
      </c>
      <c r="CS16" s="31">
        <v>357.9</v>
      </c>
      <c r="CT16" s="58" t="e">
        <f t="shared" si="33"/>
        <v>#DIV/0!</v>
      </c>
      <c r="CU16" s="51">
        <f t="shared" si="34"/>
        <v>1</v>
      </c>
      <c r="CV16" s="47"/>
      <c r="CW16" s="51">
        <f t="shared" si="35"/>
        <v>0</v>
      </c>
      <c r="CX16" s="17">
        <v>1</v>
      </c>
      <c r="CY16" s="17">
        <v>1</v>
      </c>
      <c r="CZ16" s="17">
        <v>1</v>
      </c>
      <c r="DA16" s="17">
        <v>1</v>
      </c>
      <c r="DB16" s="17">
        <v>0</v>
      </c>
      <c r="DC16" s="41">
        <f t="shared" si="21"/>
        <v>4</v>
      </c>
      <c r="DD16" s="51">
        <f t="shared" si="44"/>
        <v>1</v>
      </c>
      <c r="DE16" s="29"/>
      <c r="DF16" s="51">
        <f t="shared" si="36"/>
        <v>0</v>
      </c>
      <c r="DG16" s="17"/>
      <c r="DH16" s="51">
        <f t="shared" si="45"/>
        <v>0</v>
      </c>
      <c r="DI16" s="17"/>
      <c r="DJ16" s="51">
        <f t="shared" si="37"/>
        <v>0</v>
      </c>
      <c r="DK16" s="17"/>
      <c r="DL16" s="51">
        <f t="shared" si="22"/>
        <v>0</v>
      </c>
      <c r="DM16" s="17">
        <v>1</v>
      </c>
      <c r="DN16" s="51">
        <f t="shared" si="23"/>
        <v>0.5</v>
      </c>
      <c r="DO16" s="17"/>
      <c r="DP16" s="51">
        <f t="shared" si="47"/>
        <v>0</v>
      </c>
      <c r="DQ16" s="17"/>
      <c r="DR16" s="51">
        <f t="shared" si="24"/>
        <v>0</v>
      </c>
      <c r="DS16" s="17">
        <v>1</v>
      </c>
      <c r="DT16" s="51">
        <f t="shared" si="48"/>
        <v>0.5</v>
      </c>
      <c r="DU16" s="17"/>
      <c r="DV16" s="51">
        <f>IF(ISBLANK(DU16),0,0.5)</f>
        <v>0</v>
      </c>
      <c r="DW16" s="102">
        <f t="shared" si="38"/>
        <v>11</v>
      </c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</row>
    <row r="17" spans="1:145" ht="15" hidden="1">
      <c r="A17" s="81" t="s">
        <v>76</v>
      </c>
      <c r="B17" s="14"/>
      <c r="C17" s="27">
        <v>970.1</v>
      </c>
      <c r="D17" s="31">
        <v>775.9</v>
      </c>
      <c r="E17" s="28"/>
      <c r="F17" s="55">
        <f t="shared" si="26"/>
        <v>0</v>
      </c>
      <c r="G17" s="41" t="s">
        <v>30</v>
      </c>
      <c r="H17" s="74">
        <f t="shared" si="0"/>
        <v>1</v>
      </c>
      <c r="I17" s="31"/>
      <c r="J17" s="15">
        <v>941.9</v>
      </c>
      <c r="K17" s="75">
        <v>765.6</v>
      </c>
      <c r="L17" s="29"/>
      <c r="M17" s="56">
        <f t="shared" si="1"/>
        <v>0</v>
      </c>
      <c r="N17" s="41" t="s">
        <v>32</v>
      </c>
      <c r="O17" s="51">
        <f>IF(M17&lt;=0.5,1,0)</f>
        <v>1</v>
      </c>
      <c r="P17" s="14"/>
      <c r="Q17" s="31"/>
      <c r="R17" s="58" t="e">
        <f t="shared" si="2"/>
        <v>#DIV/0!</v>
      </c>
      <c r="S17" s="41" t="s">
        <v>33</v>
      </c>
      <c r="T17" s="51">
        <f t="shared" si="27"/>
        <v>1</v>
      </c>
      <c r="U17" s="16"/>
      <c r="V17" s="78">
        <v>967.1</v>
      </c>
      <c r="W17" s="31">
        <v>55</v>
      </c>
      <c r="X17" s="58">
        <f t="shared" si="39"/>
        <v>0</v>
      </c>
      <c r="Y17" s="41" t="s">
        <v>31</v>
      </c>
      <c r="Z17" s="51">
        <f t="shared" si="3"/>
        <v>1</v>
      </c>
      <c r="AA17" s="31"/>
      <c r="AB17" s="31"/>
      <c r="AC17" s="31"/>
      <c r="AD17" s="58" t="e">
        <f t="shared" si="4"/>
        <v>#DIV/0!</v>
      </c>
      <c r="AE17" s="41" t="s">
        <v>33</v>
      </c>
      <c r="AF17" s="51">
        <f t="shared" si="5"/>
        <v>1</v>
      </c>
      <c r="AG17" s="17">
        <v>645</v>
      </c>
      <c r="AH17" s="17">
        <v>835</v>
      </c>
      <c r="AI17" s="58">
        <f t="shared" si="6"/>
        <v>0.7724550898203593</v>
      </c>
      <c r="AJ17" s="41" t="s">
        <v>33</v>
      </c>
      <c r="AK17" s="51">
        <f t="shared" si="7"/>
        <v>1</v>
      </c>
      <c r="AL17" s="31">
        <v>403.5</v>
      </c>
      <c r="AM17" s="31">
        <v>396.8</v>
      </c>
      <c r="AN17" s="66">
        <f t="shared" si="8"/>
        <v>1.0168850806451613</v>
      </c>
      <c r="AO17" s="41" t="s">
        <v>33</v>
      </c>
      <c r="AP17" s="51">
        <f t="shared" si="9"/>
        <v>0</v>
      </c>
      <c r="AQ17" s="47">
        <v>10</v>
      </c>
      <c r="AR17" s="41" t="s">
        <v>133</v>
      </c>
      <c r="AS17" s="51">
        <f t="shared" si="40"/>
        <v>0</v>
      </c>
      <c r="AT17" s="17"/>
      <c r="AU17" s="29"/>
      <c r="AV17" s="17"/>
      <c r="AW17" s="17"/>
      <c r="AX17" s="68">
        <f t="shared" si="10"/>
        <v>0</v>
      </c>
      <c r="AY17" s="41">
        <v>0</v>
      </c>
      <c r="AZ17" s="51">
        <f t="shared" si="11"/>
        <v>0</v>
      </c>
      <c r="BA17" s="17"/>
      <c r="BB17" s="17"/>
      <c r="BC17" s="69" t="e">
        <f t="shared" si="41"/>
        <v>#DIV/0!</v>
      </c>
      <c r="BD17" s="41" t="s">
        <v>50</v>
      </c>
      <c r="BE17" s="51">
        <f t="shared" si="12"/>
        <v>1</v>
      </c>
      <c r="BF17" s="17"/>
      <c r="BG17" s="63">
        <f t="shared" si="49"/>
        <v>912.1</v>
      </c>
      <c r="BH17" s="59">
        <f t="shared" si="13"/>
        <v>0</v>
      </c>
      <c r="BI17" s="51">
        <f t="shared" si="14"/>
        <v>-1</v>
      </c>
      <c r="BJ17" s="17">
        <v>0</v>
      </c>
      <c r="BK17" s="17">
        <v>1</v>
      </c>
      <c r="BL17" s="58">
        <f t="shared" si="15"/>
        <v>0</v>
      </c>
      <c r="BM17" s="51">
        <f t="shared" si="42"/>
        <v>-1</v>
      </c>
      <c r="BN17" s="17">
        <v>176.3</v>
      </c>
      <c r="BO17" s="17">
        <v>148.9</v>
      </c>
      <c r="BP17" s="58">
        <f t="shared" si="16"/>
        <v>1.1840161182001343</v>
      </c>
      <c r="BQ17" s="51">
        <f t="shared" si="28"/>
        <v>0</v>
      </c>
      <c r="BR17" s="96">
        <v>194.2</v>
      </c>
      <c r="BS17" s="100">
        <v>176.3</v>
      </c>
      <c r="BT17" s="98">
        <f t="shared" si="17"/>
        <v>1.1015314804310832</v>
      </c>
      <c r="BU17" s="51">
        <f t="shared" si="29"/>
        <v>0</v>
      </c>
      <c r="BV17" s="17">
        <v>176.3</v>
      </c>
      <c r="BW17" s="18">
        <v>654</v>
      </c>
      <c r="BX17" s="17">
        <v>188.5</v>
      </c>
      <c r="BY17" s="17">
        <v>529.1</v>
      </c>
      <c r="BZ17" s="58">
        <f t="shared" si="18"/>
        <v>0.7566603395549932</v>
      </c>
      <c r="CA17" s="51">
        <f t="shared" si="30"/>
        <v>0</v>
      </c>
      <c r="CB17" s="17">
        <f>900.3-CC17-CD17-CE17</f>
        <v>275.3</v>
      </c>
      <c r="CC17" s="18">
        <v>215.3</v>
      </c>
      <c r="CD17" s="18">
        <f>430-CC17</f>
        <v>214.7</v>
      </c>
      <c r="CE17" s="18">
        <f>625-CC17-CD17</f>
        <v>195</v>
      </c>
      <c r="CF17" s="71">
        <f t="shared" si="43"/>
        <v>1.1613543433616205</v>
      </c>
      <c r="CG17" s="51">
        <f t="shared" si="46"/>
        <v>1</v>
      </c>
      <c r="CH17" s="17">
        <v>0</v>
      </c>
      <c r="CI17" s="51">
        <f t="shared" si="20"/>
        <v>0</v>
      </c>
      <c r="CJ17" s="17"/>
      <c r="CK17" s="17"/>
      <c r="CL17" s="17"/>
      <c r="CM17" s="29"/>
      <c r="CN17" s="29">
        <f t="shared" si="31"/>
        <v>0</v>
      </c>
      <c r="CO17" s="29">
        <f t="shared" si="32"/>
        <v>1</v>
      </c>
      <c r="CP17" s="14">
        <v>0</v>
      </c>
      <c r="CQ17" s="96">
        <v>194.2</v>
      </c>
      <c r="CR17" s="31">
        <v>0</v>
      </c>
      <c r="CS17" s="31">
        <v>194.3</v>
      </c>
      <c r="CT17" s="58" t="e">
        <f t="shared" si="33"/>
        <v>#DIV/0!</v>
      </c>
      <c r="CU17" s="51">
        <f t="shared" si="34"/>
        <v>1</v>
      </c>
      <c r="CV17" s="47"/>
      <c r="CW17" s="51">
        <f t="shared" si="35"/>
        <v>0</v>
      </c>
      <c r="CX17" s="17">
        <v>1</v>
      </c>
      <c r="CY17" s="17">
        <v>1</v>
      </c>
      <c r="CZ17" s="17">
        <v>1</v>
      </c>
      <c r="DA17" s="17">
        <v>1</v>
      </c>
      <c r="DB17" s="17">
        <v>0</v>
      </c>
      <c r="DC17" s="41">
        <f t="shared" si="21"/>
        <v>4</v>
      </c>
      <c r="DD17" s="51">
        <f t="shared" si="44"/>
        <v>1</v>
      </c>
      <c r="DE17" s="29"/>
      <c r="DF17" s="51">
        <f t="shared" si="36"/>
        <v>0</v>
      </c>
      <c r="DG17" s="17"/>
      <c r="DH17" s="51">
        <f t="shared" si="45"/>
        <v>0</v>
      </c>
      <c r="DI17" s="15"/>
      <c r="DJ17" s="85">
        <f t="shared" si="37"/>
        <v>0</v>
      </c>
      <c r="DK17" s="15"/>
      <c r="DL17" s="51">
        <f t="shared" si="22"/>
        <v>0</v>
      </c>
      <c r="DM17" s="17">
        <v>1</v>
      </c>
      <c r="DN17" s="51">
        <f t="shared" si="23"/>
        <v>0.5</v>
      </c>
      <c r="DO17" s="17"/>
      <c r="DP17" s="51">
        <f t="shared" si="47"/>
        <v>0</v>
      </c>
      <c r="DQ17" s="17"/>
      <c r="DR17" s="51">
        <f t="shared" si="24"/>
        <v>0</v>
      </c>
      <c r="DS17" s="17"/>
      <c r="DT17" s="51">
        <f t="shared" si="48"/>
        <v>0</v>
      </c>
      <c r="DU17" s="17"/>
      <c r="DV17" s="51">
        <f t="shared" si="25"/>
        <v>0</v>
      </c>
      <c r="DW17" s="102">
        <f t="shared" si="38"/>
        <v>9.5</v>
      </c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</row>
    <row r="18" spans="1:145" ht="15" hidden="1">
      <c r="A18" s="81" t="s">
        <v>77</v>
      </c>
      <c r="B18" s="14">
        <v>51.3</v>
      </c>
      <c r="C18" s="27">
        <v>2872.9</v>
      </c>
      <c r="D18" s="31">
        <v>2238.3</v>
      </c>
      <c r="E18" s="28"/>
      <c r="F18" s="55">
        <f t="shared" si="26"/>
        <v>0.08083832335329343</v>
      </c>
      <c r="G18" s="41" t="s">
        <v>30</v>
      </c>
      <c r="H18" s="74">
        <f t="shared" si="0"/>
        <v>0</v>
      </c>
      <c r="I18" s="31"/>
      <c r="J18" s="15">
        <v>2852.3</v>
      </c>
      <c r="K18" s="75">
        <v>2238.3</v>
      </c>
      <c r="L18" s="29"/>
      <c r="M18" s="56">
        <f t="shared" si="1"/>
        <v>0</v>
      </c>
      <c r="N18" s="41" t="s">
        <v>32</v>
      </c>
      <c r="O18" s="51">
        <f>IF(M18&lt;=0.5,1,0)</f>
        <v>1</v>
      </c>
      <c r="P18" s="14"/>
      <c r="Q18" s="31"/>
      <c r="R18" s="58" t="e">
        <f t="shared" si="2"/>
        <v>#DIV/0!</v>
      </c>
      <c r="S18" s="41" t="s">
        <v>33</v>
      </c>
      <c r="T18" s="51">
        <f t="shared" si="27"/>
        <v>1</v>
      </c>
      <c r="U18" s="16"/>
      <c r="V18" s="78">
        <v>2924.2</v>
      </c>
      <c r="W18" s="31">
        <v>48</v>
      </c>
      <c r="X18" s="58">
        <f t="shared" si="39"/>
        <v>0</v>
      </c>
      <c r="Y18" s="41" t="s">
        <v>31</v>
      </c>
      <c r="Z18" s="51">
        <f t="shared" si="3"/>
        <v>1</v>
      </c>
      <c r="AA18" s="31"/>
      <c r="AB18" s="31">
        <v>51.3</v>
      </c>
      <c r="AC18" s="31"/>
      <c r="AD18" s="58">
        <f t="shared" si="4"/>
        <v>0</v>
      </c>
      <c r="AE18" s="41" t="s">
        <v>33</v>
      </c>
      <c r="AF18" s="51">
        <f t="shared" si="5"/>
        <v>1</v>
      </c>
      <c r="AG18" s="17">
        <v>793</v>
      </c>
      <c r="AH18" s="17">
        <v>838</v>
      </c>
      <c r="AI18" s="58">
        <f t="shared" si="6"/>
        <v>0.9463007159904535</v>
      </c>
      <c r="AJ18" s="41" t="s">
        <v>33</v>
      </c>
      <c r="AK18" s="51">
        <f t="shared" si="7"/>
        <v>1</v>
      </c>
      <c r="AL18" s="31">
        <v>580.9</v>
      </c>
      <c r="AM18" s="31">
        <v>580.9</v>
      </c>
      <c r="AN18" s="66">
        <f t="shared" si="8"/>
        <v>1</v>
      </c>
      <c r="AO18" s="41" t="s">
        <v>33</v>
      </c>
      <c r="AP18" s="51">
        <f t="shared" si="9"/>
        <v>1</v>
      </c>
      <c r="AQ18" s="47">
        <v>11</v>
      </c>
      <c r="AR18" s="41" t="s">
        <v>133</v>
      </c>
      <c r="AS18" s="51">
        <f t="shared" si="40"/>
        <v>0</v>
      </c>
      <c r="AT18" s="17"/>
      <c r="AU18" s="29"/>
      <c r="AV18" s="17"/>
      <c r="AW18" s="17"/>
      <c r="AX18" s="68">
        <f t="shared" si="10"/>
        <v>0</v>
      </c>
      <c r="AY18" s="41">
        <v>0</v>
      </c>
      <c r="AZ18" s="51">
        <f t="shared" si="11"/>
        <v>0</v>
      </c>
      <c r="BA18" s="17"/>
      <c r="BB18" s="17"/>
      <c r="BC18" s="69" t="e">
        <f t="shared" si="41"/>
        <v>#DIV/0!</v>
      </c>
      <c r="BD18" s="41" t="s">
        <v>50</v>
      </c>
      <c r="BE18" s="51">
        <f t="shared" si="12"/>
        <v>1</v>
      </c>
      <c r="BF18" s="17"/>
      <c r="BG18" s="63">
        <f t="shared" si="49"/>
        <v>2876.2</v>
      </c>
      <c r="BH18" s="59">
        <f t="shared" si="13"/>
        <v>0</v>
      </c>
      <c r="BI18" s="51">
        <f t="shared" si="14"/>
        <v>-1</v>
      </c>
      <c r="BJ18" s="17">
        <v>0</v>
      </c>
      <c r="BK18" s="17">
        <v>1</v>
      </c>
      <c r="BL18" s="58">
        <f t="shared" si="15"/>
        <v>0</v>
      </c>
      <c r="BM18" s="51">
        <f t="shared" si="42"/>
        <v>-1</v>
      </c>
      <c r="BN18" s="17">
        <v>614</v>
      </c>
      <c r="BO18" s="17">
        <v>478.3</v>
      </c>
      <c r="BP18" s="59">
        <f t="shared" si="16"/>
        <v>1.283713150742212</v>
      </c>
      <c r="BQ18" s="51">
        <f t="shared" si="28"/>
        <v>0</v>
      </c>
      <c r="BR18" s="96">
        <v>634.7</v>
      </c>
      <c r="BS18" s="101">
        <v>614</v>
      </c>
      <c r="BT18" s="98">
        <f t="shared" si="17"/>
        <v>1.03371335504886</v>
      </c>
      <c r="BU18" s="51">
        <f t="shared" si="29"/>
        <v>0</v>
      </c>
      <c r="BV18" s="17">
        <v>614</v>
      </c>
      <c r="BW18" s="18">
        <v>388.4</v>
      </c>
      <c r="BX18" s="17">
        <v>504</v>
      </c>
      <c r="BY18" s="17">
        <v>360.7</v>
      </c>
      <c r="BZ18" s="58">
        <f t="shared" si="18"/>
        <v>1.1313702532162881</v>
      </c>
      <c r="CA18" s="51">
        <f t="shared" si="30"/>
        <v>1</v>
      </c>
      <c r="CB18" s="17">
        <f>1348-CC18-CD18-CE18</f>
        <v>635.4000000000001</v>
      </c>
      <c r="CC18" s="18">
        <v>169.3</v>
      </c>
      <c r="CD18" s="18">
        <f>440.7-CC18</f>
        <v>271.4</v>
      </c>
      <c r="CE18" s="18">
        <f>712.6-CC18-CD18</f>
        <v>271.9</v>
      </c>
      <c r="CF18" s="71">
        <f t="shared" si="43"/>
        <v>3.7600153390722824</v>
      </c>
      <c r="CG18" s="51">
        <f t="shared" si="46"/>
        <v>0</v>
      </c>
      <c r="CH18" s="17">
        <v>0</v>
      </c>
      <c r="CI18" s="51">
        <f t="shared" si="20"/>
        <v>0</v>
      </c>
      <c r="CJ18" s="17"/>
      <c r="CK18" s="17"/>
      <c r="CL18" s="17"/>
      <c r="CM18" s="29"/>
      <c r="CN18" s="29">
        <f t="shared" si="31"/>
        <v>0</v>
      </c>
      <c r="CO18" s="29">
        <f t="shared" si="32"/>
        <v>1</v>
      </c>
      <c r="CP18" s="14">
        <v>0</v>
      </c>
      <c r="CQ18" s="96">
        <v>634.7</v>
      </c>
      <c r="CR18" s="31">
        <v>0</v>
      </c>
      <c r="CS18" s="31">
        <v>523.5</v>
      </c>
      <c r="CT18" s="58" t="e">
        <f t="shared" si="33"/>
        <v>#DIV/0!</v>
      </c>
      <c r="CU18" s="51">
        <f t="shared" si="34"/>
        <v>1</v>
      </c>
      <c r="CV18" s="47"/>
      <c r="CW18" s="51">
        <f t="shared" si="35"/>
        <v>0</v>
      </c>
      <c r="CX18" s="17">
        <v>0</v>
      </c>
      <c r="CY18" s="17">
        <v>1</v>
      </c>
      <c r="CZ18" s="17">
        <v>1</v>
      </c>
      <c r="DA18" s="17">
        <v>1</v>
      </c>
      <c r="DB18" s="17">
        <v>0</v>
      </c>
      <c r="DC18" s="41">
        <f t="shared" si="21"/>
        <v>3</v>
      </c>
      <c r="DD18" s="51">
        <f t="shared" si="44"/>
        <v>0</v>
      </c>
      <c r="DE18" s="29"/>
      <c r="DF18" s="51">
        <f t="shared" si="36"/>
        <v>0</v>
      </c>
      <c r="DG18" s="17"/>
      <c r="DH18" s="51">
        <f t="shared" si="45"/>
        <v>0</v>
      </c>
      <c r="DI18" s="17"/>
      <c r="DJ18" s="51">
        <f t="shared" si="37"/>
        <v>0</v>
      </c>
      <c r="DK18" s="17"/>
      <c r="DL18" s="51">
        <f t="shared" si="22"/>
        <v>0</v>
      </c>
      <c r="DM18" s="17"/>
      <c r="DN18" s="51">
        <f t="shared" si="23"/>
        <v>0</v>
      </c>
      <c r="DO18" s="17"/>
      <c r="DP18" s="51">
        <f t="shared" si="47"/>
        <v>0</v>
      </c>
      <c r="DQ18" s="17"/>
      <c r="DR18" s="51">
        <f t="shared" si="24"/>
        <v>0</v>
      </c>
      <c r="DS18" s="17"/>
      <c r="DT18" s="51">
        <f t="shared" si="48"/>
        <v>0</v>
      </c>
      <c r="DU18" s="17"/>
      <c r="DV18" s="51">
        <f t="shared" si="25"/>
        <v>0</v>
      </c>
      <c r="DW18" s="102">
        <f t="shared" si="38"/>
        <v>8</v>
      </c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</row>
    <row r="19" spans="1:145" ht="12.75" hidden="1">
      <c r="A19" s="29"/>
      <c r="B19" s="14"/>
      <c r="C19" s="27"/>
      <c r="D19" s="14"/>
      <c r="E19" s="28"/>
      <c r="F19" s="55"/>
      <c r="G19" s="41"/>
      <c r="H19" s="74"/>
      <c r="I19" s="31"/>
      <c r="J19" s="15"/>
      <c r="K19" s="75"/>
      <c r="L19" s="29"/>
      <c r="M19" s="56"/>
      <c r="N19" s="41"/>
      <c r="O19" s="51"/>
      <c r="P19" s="14"/>
      <c r="Q19" s="31"/>
      <c r="R19" s="58"/>
      <c r="S19" s="41"/>
      <c r="T19" s="51"/>
      <c r="U19" s="16"/>
      <c r="V19" s="78"/>
      <c r="W19" s="31"/>
      <c r="X19" s="58"/>
      <c r="Y19" s="41"/>
      <c r="Z19" s="51"/>
      <c r="AA19" s="31"/>
      <c r="AB19" s="31"/>
      <c r="AC19" s="31"/>
      <c r="AD19" s="58"/>
      <c r="AE19" s="41"/>
      <c r="AF19" s="51"/>
      <c r="AG19" s="17"/>
      <c r="AH19" s="17"/>
      <c r="AI19" s="58"/>
      <c r="AJ19" s="41"/>
      <c r="AK19" s="51"/>
      <c r="AL19" s="31"/>
      <c r="AM19" s="31"/>
      <c r="AN19" s="66"/>
      <c r="AO19" s="41"/>
      <c r="AP19" s="51"/>
      <c r="AQ19" s="47"/>
      <c r="AR19" s="41"/>
      <c r="AS19" s="51"/>
      <c r="AT19" s="17"/>
      <c r="AU19" s="29"/>
      <c r="AV19" s="17"/>
      <c r="AW19" s="17"/>
      <c r="AX19" s="68"/>
      <c r="AY19" s="41"/>
      <c r="AZ19" s="51"/>
      <c r="BA19" s="17"/>
      <c r="BB19" s="17"/>
      <c r="BC19" s="69"/>
      <c r="BD19" s="41"/>
      <c r="BE19" s="51"/>
      <c r="BF19" s="17"/>
      <c r="BG19" s="29"/>
      <c r="BH19" s="59"/>
      <c r="BI19" s="51"/>
      <c r="BJ19" s="17"/>
      <c r="BK19" s="17"/>
      <c r="BL19" s="58"/>
      <c r="BM19" s="51"/>
      <c r="BN19" s="17"/>
      <c r="BO19" s="17"/>
      <c r="BP19" s="59"/>
      <c r="BQ19" s="51"/>
      <c r="BR19" s="95"/>
      <c r="BS19" s="29"/>
      <c r="BT19" s="98"/>
      <c r="BU19" s="51"/>
      <c r="BV19" s="17"/>
      <c r="BW19" s="18"/>
      <c r="BX19" s="17"/>
      <c r="BY19" s="17"/>
      <c r="BZ19" s="58"/>
      <c r="CA19" s="51"/>
      <c r="CB19" s="17"/>
      <c r="CC19" s="29"/>
      <c r="CD19" s="30"/>
      <c r="CE19" s="29"/>
      <c r="CF19" s="71"/>
      <c r="CG19" s="51"/>
      <c r="CH19" s="17"/>
      <c r="CI19" s="51"/>
      <c r="CJ19" s="17"/>
      <c r="CK19" s="17"/>
      <c r="CL19" s="17"/>
      <c r="CM19" s="29"/>
      <c r="CN19" s="29"/>
      <c r="CO19" s="29"/>
      <c r="CP19" s="14"/>
      <c r="CQ19" s="31"/>
      <c r="CR19" s="31"/>
      <c r="CS19" s="31"/>
      <c r="CT19" s="58"/>
      <c r="CU19" s="51"/>
      <c r="CV19" s="47"/>
      <c r="CW19" s="51"/>
      <c r="CX19" s="17"/>
      <c r="CY19" s="17"/>
      <c r="CZ19" s="17"/>
      <c r="DA19" s="17"/>
      <c r="DB19" s="17"/>
      <c r="DC19" s="41"/>
      <c r="DD19" s="51"/>
      <c r="DE19" s="29"/>
      <c r="DF19" s="51"/>
      <c r="DG19" s="17"/>
      <c r="DH19" s="51"/>
      <c r="DI19" s="17"/>
      <c r="DJ19" s="51"/>
      <c r="DK19" s="17"/>
      <c r="DL19" s="51"/>
      <c r="DM19" s="17"/>
      <c r="DN19" s="51"/>
      <c r="DO19" s="17"/>
      <c r="DP19" s="51"/>
      <c r="DQ19" s="17"/>
      <c r="DR19" s="51"/>
      <c r="DS19" s="17"/>
      <c r="DT19" s="51"/>
      <c r="DU19" s="17"/>
      <c r="DV19" s="51"/>
      <c r="DW19" s="91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</row>
    <row r="20" spans="1:146" ht="12.75" hidden="1">
      <c r="A20" s="7"/>
      <c r="B20" s="33"/>
      <c r="C20" s="4"/>
      <c r="D20" s="4"/>
      <c r="E20" s="13"/>
      <c r="F20" s="54"/>
      <c r="G20" s="40"/>
      <c r="H20" s="32"/>
      <c r="I20" s="4"/>
      <c r="J20" s="4"/>
      <c r="K20" s="34"/>
      <c r="L20" s="32"/>
      <c r="M20" s="57"/>
      <c r="N20" s="32"/>
      <c r="O20" s="32"/>
      <c r="P20" s="4"/>
      <c r="Q20" s="33"/>
      <c r="R20" s="34"/>
      <c r="S20" s="13"/>
      <c r="T20" s="32"/>
      <c r="U20" s="35"/>
      <c r="V20" s="4"/>
      <c r="W20" s="4"/>
      <c r="X20" s="34"/>
      <c r="Y20" s="4"/>
      <c r="Z20" s="34"/>
      <c r="AA20" s="7"/>
      <c r="AB20" s="36"/>
      <c r="AC20" s="4"/>
      <c r="AD20" s="34"/>
      <c r="AE20" s="37"/>
      <c r="AF20" s="32"/>
      <c r="AG20" s="128"/>
      <c r="AH20" s="128"/>
      <c r="AI20" s="34"/>
      <c r="AJ20" s="4"/>
      <c r="AK20" s="4"/>
      <c r="AL20" s="128"/>
      <c r="AM20" s="128"/>
      <c r="AN20" s="10"/>
      <c r="AO20" s="32"/>
      <c r="AP20" s="32"/>
      <c r="AQ20" s="48"/>
      <c r="AR20" s="4"/>
      <c r="AS20" s="4"/>
      <c r="AT20" s="4"/>
      <c r="AU20" s="4"/>
      <c r="AV20" s="4"/>
      <c r="AW20" s="4"/>
      <c r="AX20" s="4"/>
      <c r="AY20" s="4"/>
      <c r="AZ20" s="32"/>
      <c r="BA20" s="4"/>
      <c r="BB20" s="4"/>
      <c r="BC20" s="4"/>
      <c r="BD20" s="43"/>
      <c r="BE20" s="13"/>
      <c r="BF20" s="4"/>
      <c r="BG20" s="4"/>
      <c r="BH20" s="34"/>
      <c r="BI20" s="4"/>
      <c r="BJ20" s="4"/>
      <c r="BK20" s="4"/>
      <c r="BL20" s="34"/>
      <c r="BM20" s="32"/>
      <c r="BN20" s="4"/>
      <c r="BO20" s="4"/>
      <c r="BP20" s="34"/>
      <c r="BQ20" s="32"/>
      <c r="BR20" s="4"/>
      <c r="BS20" s="32"/>
      <c r="BT20" s="34"/>
      <c r="BU20" s="4"/>
      <c r="BV20" s="4"/>
      <c r="BW20" s="32"/>
      <c r="BX20" s="4"/>
      <c r="BY20" s="38"/>
      <c r="BZ20" s="34"/>
      <c r="CA20" s="6"/>
      <c r="CB20" s="4"/>
      <c r="CC20" s="4"/>
      <c r="CD20" s="34"/>
      <c r="CE20" s="32"/>
      <c r="CF20" s="70"/>
      <c r="CG20" s="32"/>
      <c r="CH20" s="4"/>
      <c r="CI20" s="4"/>
      <c r="CJ20" s="4"/>
      <c r="CK20" s="4"/>
      <c r="CL20" s="4"/>
      <c r="CM20" s="32"/>
      <c r="CN20" s="32"/>
      <c r="CO20" s="32"/>
      <c r="CP20" s="4"/>
      <c r="CQ20" s="36"/>
      <c r="CR20" s="36"/>
      <c r="CS20" s="36"/>
      <c r="CT20" s="34"/>
      <c r="CU20" s="4"/>
      <c r="CV20" s="48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32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</row>
    <row r="21" spans="1:146" ht="12.75" hidden="1">
      <c r="A21" s="7"/>
      <c r="B21" s="33"/>
      <c r="C21" s="4"/>
      <c r="D21" s="4"/>
      <c r="E21" s="13"/>
      <c r="F21" s="54"/>
      <c r="G21" s="40"/>
      <c r="H21" s="32"/>
      <c r="I21" s="4"/>
      <c r="J21" s="4"/>
      <c r="K21" s="34"/>
      <c r="L21" s="32"/>
      <c r="M21" s="57"/>
      <c r="N21" s="32"/>
      <c r="O21" s="32"/>
      <c r="P21" s="4"/>
      <c r="Q21" s="33"/>
      <c r="R21" s="34"/>
      <c r="S21" s="13"/>
      <c r="T21" s="32"/>
      <c r="U21" s="35"/>
      <c r="V21" s="4"/>
      <c r="W21" s="4"/>
      <c r="X21" s="34"/>
      <c r="Y21" s="4"/>
      <c r="Z21" s="34"/>
      <c r="AA21" s="7"/>
      <c r="AB21" s="36"/>
      <c r="AC21" s="4"/>
      <c r="AD21" s="34"/>
      <c r="AE21" s="37"/>
      <c r="AF21" s="32"/>
      <c r="AG21" s="104"/>
      <c r="AH21" s="105"/>
      <c r="AI21" s="34"/>
      <c r="AJ21" s="4"/>
      <c r="AK21" s="104"/>
      <c r="AL21" s="104"/>
      <c r="AM21" s="105"/>
      <c r="AN21" s="106"/>
      <c r="AO21" s="32"/>
      <c r="AP21" s="32"/>
      <c r="AQ21" s="48"/>
      <c r="AR21" s="4"/>
      <c r="AS21" s="4"/>
      <c r="AT21" s="4"/>
      <c r="AU21" s="4"/>
      <c r="AV21" s="4"/>
      <c r="AW21" s="4"/>
      <c r="AX21" s="4"/>
      <c r="AY21" s="4"/>
      <c r="AZ21" s="32"/>
      <c r="BA21" s="4"/>
      <c r="BB21" s="4"/>
      <c r="BC21" s="4"/>
      <c r="BD21" s="43"/>
      <c r="BE21" s="13"/>
      <c r="BF21" s="4"/>
      <c r="BG21" s="4"/>
      <c r="BH21" s="34"/>
      <c r="BI21" s="4"/>
      <c r="BJ21" s="4"/>
      <c r="BK21" s="4"/>
      <c r="BL21" s="34"/>
      <c r="BM21" s="32"/>
      <c r="BN21" s="4"/>
      <c r="BO21" s="4"/>
      <c r="BP21" s="34"/>
      <c r="BQ21" s="32"/>
      <c r="BR21" s="4"/>
      <c r="BS21" s="32"/>
      <c r="BT21" s="34"/>
      <c r="BU21" s="4"/>
      <c r="BV21" s="4"/>
      <c r="BW21" s="32"/>
      <c r="BX21" s="4"/>
      <c r="BY21" s="84"/>
      <c r="BZ21" s="34"/>
      <c r="CA21" s="6"/>
      <c r="CB21" s="4"/>
      <c r="CC21" s="4"/>
      <c r="CD21" s="34"/>
      <c r="CE21" s="32"/>
      <c r="CF21" s="70"/>
      <c r="CG21" s="32"/>
      <c r="CH21" s="4"/>
      <c r="CI21" s="4"/>
      <c r="CJ21" s="4"/>
      <c r="CK21" s="4"/>
      <c r="CL21" s="4"/>
      <c r="CM21" s="32"/>
      <c r="CN21" s="32"/>
      <c r="CO21" s="32"/>
      <c r="CP21" s="4"/>
      <c r="CQ21" s="36"/>
      <c r="CR21" s="36"/>
      <c r="CS21" s="36"/>
      <c r="CT21" s="34"/>
      <c r="CU21" s="4"/>
      <c r="CV21" s="48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32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</row>
    <row r="22" spans="1:147" ht="15" hidden="1">
      <c r="A22" s="7"/>
      <c r="B22" s="33"/>
      <c r="C22" s="4"/>
      <c r="D22" s="4"/>
      <c r="E22" s="13"/>
      <c r="F22" s="54"/>
      <c r="G22" s="40"/>
      <c r="H22" s="32"/>
      <c r="I22" s="4"/>
      <c r="J22" s="4"/>
      <c r="K22" s="34"/>
      <c r="L22" s="32"/>
      <c r="M22" s="57"/>
      <c r="N22" s="32"/>
      <c r="O22" s="32"/>
      <c r="P22" s="4"/>
      <c r="Q22" s="33"/>
      <c r="R22" s="34"/>
      <c r="S22" s="13"/>
      <c r="T22" s="32"/>
      <c r="U22" s="35"/>
      <c r="V22" s="4"/>
      <c r="W22" s="4"/>
      <c r="X22" s="34"/>
      <c r="Y22" s="4"/>
      <c r="Z22" s="34"/>
      <c r="AA22" s="7"/>
      <c r="AB22" s="36"/>
      <c r="AC22" s="4"/>
      <c r="AD22" s="34"/>
      <c r="AE22" s="37"/>
      <c r="AF22" s="32"/>
      <c r="AG22" s="104"/>
      <c r="AH22" s="104"/>
      <c r="AI22" s="34"/>
      <c r="AJ22" s="4"/>
      <c r="AK22" s="4"/>
      <c r="AL22" s="4"/>
      <c r="AM22" s="4"/>
      <c r="AN22" s="10"/>
      <c r="AO22" s="32"/>
      <c r="AP22" s="32"/>
      <c r="AQ22" s="48"/>
      <c r="AR22" s="4"/>
      <c r="AS22" s="4"/>
      <c r="AT22" s="4"/>
      <c r="AU22" s="4"/>
      <c r="AV22" s="4"/>
      <c r="AW22" s="4"/>
      <c r="AX22" s="4"/>
      <c r="AY22" s="4"/>
      <c r="AZ22" s="32"/>
      <c r="BA22" s="4"/>
      <c r="BB22" s="4"/>
      <c r="BC22" s="4"/>
      <c r="BD22" s="43"/>
      <c r="BE22" s="13"/>
      <c r="BF22" s="4"/>
      <c r="BG22" s="4"/>
      <c r="BH22" s="34"/>
      <c r="BI22" s="4"/>
      <c r="BJ22" s="4"/>
      <c r="BK22" s="4"/>
      <c r="BL22" s="34"/>
      <c r="BM22" s="32"/>
      <c r="BN22" s="4"/>
      <c r="BO22" s="4"/>
      <c r="BP22" s="34"/>
      <c r="BQ22" s="32"/>
      <c r="BR22" s="4"/>
      <c r="BS22" s="32"/>
      <c r="BT22" s="34"/>
      <c r="BU22" s="4"/>
      <c r="BV22" s="4"/>
      <c r="BW22" s="32"/>
      <c r="BX22" s="4"/>
      <c r="BY22" s="84"/>
      <c r="BZ22" s="34"/>
      <c r="CA22" s="6"/>
      <c r="CB22" s="4"/>
      <c r="CC22" s="4"/>
      <c r="CD22" s="34"/>
      <c r="CE22" s="32"/>
      <c r="CF22" s="70"/>
      <c r="CG22" s="32"/>
      <c r="CH22" s="4"/>
      <c r="CI22" s="4"/>
      <c r="CJ22" s="4"/>
      <c r="CK22" s="4"/>
      <c r="CL22" s="4"/>
      <c r="CM22" s="4"/>
      <c r="CN22" s="32"/>
      <c r="CO22" s="32"/>
      <c r="CP22" s="32"/>
      <c r="CQ22" s="4"/>
      <c r="CR22" s="36"/>
      <c r="CS22" s="36"/>
      <c r="CT22" s="36"/>
      <c r="CU22" s="34"/>
      <c r="CV22" s="4"/>
      <c r="CW22" s="48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32"/>
      <c r="DJ22" s="4"/>
      <c r="DK22" s="4"/>
      <c r="DL22" s="4"/>
      <c r="DM22" s="4"/>
      <c r="DN22" s="86"/>
      <c r="DO22" s="4"/>
      <c r="DP22" s="4"/>
      <c r="DQ22" s="86" t="s">
        <v>131</v>
      </c>
      <c r="DR22" s="86"/>
      <c r="DS22" s="4"/>
      <c r="DT22" s="4"/>
      <c r="DU22" s="4"/>
      <c r="DV22" s="4" t="s">
        <v>129</v>
      </c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</row>
    <row r="23" spans="1:147" ht="12.75" hidden="1">
      <c r="A23" s="7"/>
      <c r="B23" s="4"/>
      <c r="C23" s="4"/>
      <c r="D23" s="4"/>
      <c r="E23" s="13"/>
      <c r="F23" s="34"/>
      <c r="G23" s="13"/>
      <c r="H23" s="32"/>
      <c r="I23" s="4"/>
      <c r="J23" s="4"/>
      <c r="K23" s="34"/>
      <c r="L23" s="32"/>
      <c r="M23" s="50"/>
      <c r="N23" s="32"/>
      <c r="O23" s="32"/>
      <c r="P23" s="4"/>
      <c r="Q23" s="33"/>
      <c r="R23" s="34"/>
      <c r="S23" s="13"/>
      <c r="T23" s="32"/>
      <c r="U23" s="35"/>
      <c r="V23" s="4"/>
      <c r="W23" s="4"/>
      <c r="X23" s="34"/>
      <c r="Y23" s="4"/>
      <c r="Z23" s="34"/>
      <c r="AA23" s="7"/>
      <c r="AB23" s="36"/>
      <c r="AC23" s="4"/>
      <c r="AD23" s="34"/>
      <c r="AE23" s="37"/>
      <c r="AF23" s="32"/>
      <c r="AG23" s="4"/>
      <c r="AH23" s="4"/>
      <c r="AI23" s="34"/>
      <c r="AJ23" s="4"/>
      <c r="AK23" s="4"/>
      <c r="AL23" s="4"/>
      <c r="AM23" s="4"/>
      <c r="AN23" s="10"/>
      <c r="AO23" s="32"/>
      <c r="AP23" s="32"/>
      <c r="AQ23" s="48"/>
      <c r="AR23" s="4"/>
      <c r="AS23" s="4"/>
      <c r="AT23" s="4"/>
      <c r="AU23" s="4"/>
      <c r="AV23" s="4"/>
      <c r="AW23" s="4"/>
      <c r="AX23" s="4"/>
      <c r="AY23" s="4"/>
      <c r="AZ23" s="32"/>
      <c r="BA23" s="4"/>
      <c r="BB23" s="4"/>
      <c r="BC23" s="4"/>
      <c r="BD23" s="43"/>
      <c r="BE23" s="13"/>
      <c r="BF23" s="4"/>
      <c r="BG23" s="4"/>
      <c r="BH23" s="34"/>
      <c r="BI23" s="4"/>
      <c r="BJ23" s="4"/>
      <c r="BK23" s="4"/>
      <c r="BL23" s="34"/>
      <c r="BM23" s="32"/>
      <c r="BN23" s="4"/>
      <c r="BO23" s="4"/>
      <c r="BP23" s="34"/>
      <c r="BQ23" s="32"/>
      <c r="BR23" s="4"/>
      <c r="BS23" s="32"/>
      <c r="BT23" s="34"/>
      <c r="BU23" s="4"/>
      <c r="BV23" s="4"/>
      <c r="BW23" s="32"/>
      <c r="BX23" s="4"/>
      <c r="BY23" s="84"/>
      <c r="BZ23" s="34"/>
      <c r="CA23" s="6"/>
      <c r="CB23" s="4"/>
      <c r="CC23" s="4"/>
      <c r="CD23" s="34"/>
      <c r="CE23" s="32"/>
      <c r="CF23" s="32"/>
      <c r="CG23" s="32"/>
      <c r="CH23" s="4"/>
      <c r="CI23" s="4"/>
      <c r="CJ23" s="4"/>
      <c r="CK23" s="4"/>
      <c r="CL23" s="4"/>
      <c r="CM23" s="4"/>
      <c r="CN23" s="32"/>
      <c r="CO23" s="32"/>
      <c r="CP23" s="32"/>
      <c r="CQ23" s="4"/>
      <c r="CR23" s="36"/>
      <c r="CS23" s="36"/>
      <c r="CT23" s="36"/>
      <c r="CU23" s="34"/>
      <c r="CV23" s="4"/>
      <c r="CW23" s="48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</row>
    <row r="24" spans="1:147" ht="12.75" hidden="1">
      <c r="A24" s="83"/>
      <c r="B24" s="4"/>
      <c r="C24" s="4"/>
      <c r="D24" s="4"/>
      <c r="E24" s="13"/>
      <c r="F24" s="34"/>
      <c r="G24" s="13"/>
      <c r="H24" s="32"/>
      <c r="I24" s="4"/>
      <c r="J24" s="4"/>
      <c r="K24" s="34"/>
      <c r="L24" s="32"/>
      <c r="M24" s="50"/>
      <c r="N24" s="32"/>
      <c r="O24" s="32"/>
      <c r="P24" s="4"/>
      <c r="Q24" s="4"/>
      <c r="R24" s="34"/>
      <c r="S24" s="13"/>
      <c r="T24" s="32"/>
      <c r="U24" s="35"/>
      <c r="V24" s="4"/>
      <c r="W24" s="4"/>
      <c r="X24" s="34"/>
      <c r="Y24" s="4"/>
      <c r="Z24" s="34"/>
      <c r="AA24" s="7"/>
      <c r="AB24" s="36"/>
      <c r="AC24" s="4"/>
      <c r="AD24" s="34"/>
      <c r="AE24" s="37"/>
      <c r="AF24" s="32"/>
      <c r="AG24" s="4"/>
      <c r="AH24" s="4"/>
      <c r="AI24" s="34"/>
      <c r="AJ24" s="4"/>
      <c r="AK24" s="4"/>
      <c r="AL24" s="4"/>
      <c r="AM24" s="4"/>
      <c r="AN24" s="10"/>
      <c r="AO24" s="32"/>
      <c r="AP24" s="32"/>
      <c r="AQ24" s="48"/>
      <c r="AR24" s="4"/>
      <c r="AS24" s="4"/>
      <c r="AT24" s="4"/>
      <c r="AU24" s="4"/>
      <c r="AV24" s="4"/>
      <c r="AW24" s="4"/>
      <c r="AX24" s="4"/>
      <c r="AY24" s="4"/>
      <c r="AZ24" s="32"/>
      <c r="BA24" s="4"/>
      <c r="BB24" s="4"/>
      <c r="BC24" s="4"/>
      <c r="BD24" s="43"/>
      <c r="BE24" s="13"/>
      <c r="BF24" s="4"/>
      <c r="BG24" s="4"/>
      <c r="BH24" s="34"/>
      <c r="BI24" s="4"/>
      <c r="BJ24" s="4"/>
      <c r="BK24" s="4"/>
      <c r="BL24" s="34"/>
      <c r="BM24" s="32"/>
      <c r="BN24" s="4"/>
      <c r="BO24" s="4"/>
      <c r="BP24" s="34"/>
      <c r="BQ24" s="32"/>
      <c r="BR24" s="4"/>
      <c r="BS24" s="32"/>
      <c r="BT24" s="34"/>
      <c r="BU24" s="4"/>
      <c r="BV24" s="4"/>
      <c r="BW24" s="32"/>
      <c r="BX24" s="4"/>
      <c r="BY24" s="84"/>
      <c r="BZ24" s="34"/>
      <c r="CA24" s="6"/>
      <c r="CB24" s="4"/>
      <c r="CC24" s="4"/>
      <c r="CD24" s="34"/>
      <c r="CE24" s="32"/>
      <c r="CF24" s="32"/>
      <c r="CG24" s="32"/>
      <c r="CH24" s="4"/>
      <c r="CI24" s="4"/>
      <c r="CJ24" s="4"/>
      <c r="CK24" s="4"/>
      <c r="CL24" s="4"/>
      <c r="CM24" s="4"/>
      <c r="CN24" s="32"/>
      <c r="CO24" s="32"/>
      <c r="CP24" s="32"/>
      <c r="CQ24" s="4"/>
      <c r="CR24" s="36"/>
      <c r="CS24" s="36"/>
      <c r="CT24" s="36"/>
      <c r="CU24" s="34"/>
      <c r="CV24" s="4"/>
      <c r="CW24" s="48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83"/>
      <c r="DO24" s="4"/>
      <c r="DP24" s="4"/>
      <c r="DQ24" s="83" t="s">
        <v>118</v>
      </c>
      <c r="DR24" s="83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</row>
    <row r="25" spans="1:147" ht="12.75" hidden="1">
      <c r="A25" s="83"/>
      <c r="B25" s="4"/>
      <c r="C25" s="4"/>
      <c r="D25" s="4"/>
      <c r="E25" s="13"/>
      <c r="F25" s="34"/>
      <c r="G25" s="13"/>
      <c r="H25" s="32"/>
      <c r="I25" s="4"/>
      <c r="J25" s="4"/>
      <c r="K25" s="34"/>
      <c r="L25" s="32"/>
      <c r="M25" s="50"/>
      <c r="N25" s="32"/>
      <c r="O25" s="32"/>
      <c r="P25" s="4"/>
      <c r="Q25" s="4"/>
      <c r="R25" s="34"/>
      <c r="S25" s="13"/>
      <c r="T25" s="32"/>
      <c r="U25" s="35"/>
      <c r="V25" s="4"/>
      <c r="W25" s="4"/>
      <c r="X25" s="34"/>
      <c r="Y25" s="4"/>
      <c r="Z25" s="34"/>
      <c r="AA25" s="7"/>
      <c r="AB25" s="36"/>
      <c r="AC25" s="4"/>
      <c r="AD25" s="34"/>
      <c r="AE25" s="37"/>
      <c r="AF25" s="32"/>
      <c r="AG25" s="4"/>
      <c r="AH25" s="4"/>
      <c r="AI25" s="34"/>
      <c r="AJ25" s="4"/>
      <c r="AK25" s="4"/>
      <c r="AL25" s="4"/>
      <c r="AM25" s="4"/>
      <c r="AN25" s="10"/>
      <c r="AO25" s="32"/>
      <c r="AP25" s="32"/>
      <c r="AQ25" s="48"/>
      <c r="AR25" s="4"/>
      <c r="AS25" s="4"/>
      <c r="AT25" s="4"/>
      <c r="AU25" s="4"/>
      <c r="AV25" s="4"/>
      <c r="AW25" s="4"/>
      <c r="AX25" s="4"/>
      <c r="AY25" s="4"/>
      <c r="AZ25" s="32"/>
      <c r="BA25" s="4"/>
      <c r="BB25" s="4"/>
      <c r="BC25" s="4"/>
      <c r="BD25" s="43"/>
      <c r="BE25" s="13"/>
      <c r="BF25" s="4"/>
      <c r="BG25" s="4"/>
      <c r="BH25" s="34"/>
      <c r="BI25" s="4"/>
      <c r="BJ25" s="4"/>
      <c r="BK25" s="4"/>
      <c r="BL25" s="34"/>
      <c r="BM25" s="32"/>
      <c r="BN25" s="4"/>
      <c r="BO25" s="4"/>
      <c r="BP25" s="34"/>
      <c r="BQ25" s="32"/>
      <c r="BR25" s="4"/>
      <c r="BS25" s="32"/>
      <c r="BT25" s="34"/>
      <c r="BU25" s="4"/>
      <c r="BV25" s="4"/>
      <c r="BW25" s="32"/>
      <c r="BX25" s="4"/>
      <c r="BY25" s="4"/>
      <c r="BZ25" s="34"/>
      <c r="CA25" s="6"/>
      <c r="CB25" s="4"/>
      <c r="CC25" s="4"/>
      <c r="CD25" s="34"/>
      <c r="CE25" s="32"/>
      <c r="CF25" s="32"/>
      <c r="CG25" s="32"/>
      <c r="CH25" s="4"/>
      <c r="CI25" s="4"/>
      <c r="CJ25" s="4"/>
      <c r="CK25" s="4"/>
      <c r="CL25" s="4"/>
      <c r="CM25" s="4"/>
      <c r="CN25" s="32"/>
      <c r="CO25" s="32"/>
      <c r="CP25" s="32"/>
      <c r="CQ25" s="4"/>
      <c r="CR25" s="36"/>
      <c r="CS25" s="36"/>
      <c r="CT25" s="36"/>
      <c r="CU25" s="34"/>
      <c r="CV25" s="4"/>
      <c r="CW25" s="48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83"/>
      <c r="DO25" s="4"/>
      <c r="DP25" s="4"/>
      <c r="DQ25" s="83" t="s">
        <v>120</v>
      </c>
      <c r="DR25" s="83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</row>
    <row r="26" spans="1:147" ht="12.75" hidden="1">
      <c r="A26" s="83"/>
      <c r="B26" s="4"/>
      <c r="C26" s="4"/>
      <c r="D26" s="4"/>
      <c r="E26" s="13"/>
      <c r="F26" s="34"/>
      <c r="G26" s="13"/>
      <c r="H26" s="32"/>
      <c r="I26" s="4"/>
      <c r="J26" s="4"/>
      <c r="K26" s="34"/>
      <c r="L26" s="32"/>
      <c r="M26" s="50"/>
      <c r="N26" s="32"/>
      <c r="O26" s="32"/>
      <c r="P26" s="4"/>
      <c r="Q26" s="4"/>
      <c r="R26" s="34"/>
      <c r="S26" s="13"/>
      <c r="T26" s="32"/>
      <c r="U26" s="35"/>
      <c r="V26" s="4"/>
      <c r="W26" s="4"/>
      <c r="X26" s="34"/>
      <c r="Y26" s="4"/>
      <c r="Z26" s="34"/>
      <c r="AA26" s="7"/>
      <c r="AB26" s="36"/>
      <c r="AC26" s="4"/>
      <c r="AD26" s="34"/>
      <c r="AE26" s="37"/>
      <c r="AF26" s="32"/>
      <c r="AG26" s="4"/>
      <c r="AH26" s="4"/>
      <c r="AI26" s="34"/>
      <c r="AJ26" s="4"/>
      <c r="AK26" s="4"/>
      <c r="AL26" s="4"/>
      <c r="AM26" s="4"/>
      <c r="AN26" s="10"/>
      <c r="AO26" s="32"/>
      <c r="AP26" s="32"/>
      <c r="AQ26" s="48"/>
      <c r="AR26" s="4"/>
      <c r="AS26" s="4"/>
      <c r="AT26" s="4"/>
      <c r="AU26" s="4"/>
      <c r="AV26" s="4"/>
      <c r="AW26" s="4"/>
      <c r="AX26" s="4"/>
      <c r="AY26" s="4"/>
      <c r="AZ26" s="32"/>
      <c r="BA26" s="4"/>
      <c r="BB26" s="4"/>
      <c r="BC26" s="4"/>
      <c r="BD26" s="43"/>
      <c r="BE26" s="13"/>
      <c r="BF26" s="4"/>
      <c r="BG26" s="4"/>
      <c r="BH26" s="34"/>
      <c r="BI26" s="4"/>
      <c r="BJ26" s="4"/>
      <c r="BK26" s="4"/>
      <c r="BL26" s="34"/>
      <c r="BM26" s="32"/>
      <c r="BN26" s="4"/>
      <c r="BO26" s="4"/>
      <c r="BP26" s="34"/>
      <c r="BQ26" s="32"/>
      <c r="BR26" s="4"/>
      <c r="BS26" s="32"/>
      <c r="BT26" s="34"/>
      <c r="BU26" s="4"/>
      <c r="BV26" s="4"/>
      <c r="BW26" s="32"/>
      <c r="BX26" s="4"/>
      <c r="BY26" s="4"/>
      <c r="BZ26" s="34"/>
      <c r="CA26" s="6"/>
      <c r="CB26" s="4"/>
      <c r="CC26" s="4"/>
      <c r="CD26" s="34"/>
      <c r="CE26" s="32"/>
      <c r="CF26" s="32"/>
      <c r="CG26" s="32"/>
      <c r="CH26" s="4"/>
      <c r="CI26" s="4"/>
      <c r="CJ26" s="4"/>
      <c r="CK26" s="4"/>
      <c r="CL26" s="4"/>
      <c r="CM26" s="4"/>
      <c r="CN26" s="32"/>
      <c r="CO26" s="32"/>
      <c r="CP26" s="32"/>
      <c r="CQ26" s="4"/>
      <c r="CR26" s="36"/>
      <c r="CS26" s="36"/>
      <c r="CT26" s="36"/>
      <c r="CU26" s="34"/>
      <c r="CV26" s="4"/>
      <c r="CW26" s="48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83"/>
      <c r="DO26" s="4"/>
      <c r="DP26" s="4"/>
      <c r="DQ26" s="83" t="s">
        <v>119</v>
      </c>
      <c r="DR26" s="83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</row>
    <row r="28" spans="1:100" s="4" customFormat="1" ht="12.75">
      <c r="A28" s="7"/>
      <c r="E28" s="13"/>
      <c r="F28" s="34"/>
      <c r="G28" s="13"/>
      <c r="H28" s="32"/>
      <c r="K28" s="34"/>
      <c r="L28" s="32"/>
      <c r="M28" s="87"/>
      <c r="N28" s="88" t="s">
        <v>127</v>
      </c>
      <c r="O28" s="32"/>
      <c r="R28" s="34"/>
      <c r="S28" s="13"/>
      <c r="T28" s="32"/>
      <c r="U28" s="35"/>
      <c r="X28" s="34"/>
      <c r="Z28" s="34"/>
      <c r="AA28" s="7"/>
      <c r="AB28" s="36"/>
      <c r="AD28" s="34"/>
      <c r="AE28" s="37"/>
      <c r="AF28" s="32"/>
      <c r="AI28" s="34"/>
      <c r="AN28" s="10"/>
      <c r="AO28" s="32"/>
      <c r="AP28" s="32"/>
      <c r="AQ28" s="48"/>
      <c r="AZ28" s="32"/>
      <c r="BD28" s="43"/>
      <c r="BE28" s="13"/>
      <c r="BH28" s="34"/>
      <c r="BL28" s="34"/>
      <c r="BM28" s="32"/>
      <c r="BP28" s="34"/>
      <c r="BQ28" s="32"/>
      <c r="BS28" s="32"/>
      <c r="BT28" s="34"/>
      <c r="BW28" s="32"/>
      <c r="BZ28" s="34"/>
      <c r="CA28" s="6"/>
      <c r="CD28" s="34"/>
      <c r="CE28" s="32"/>
      <c r="CF28" s="32"/>
      <c r="CG28" s="32"/>
      <c r="CM28" s="32"/>
      <c r="CN28" s="32"/>
      <c r="CO28" s="32"/>
      <c r="CQ28" s="36"/>
      <c r="CR28" s="36"/>
      <c r="CS28" s="36"/>
      <c r="CT28" s="34"/>
      <c r="CV28" s="48"/>
    </row>
    <row r="29" spans="1:100" s="4" customFormat="1" ht="12.75">
      <c r="A29" s="7"/>
      <c r="E29" s="13"/>
      <c r="F29" s="34"/>
      <c r="G29" s="13"/>
      <c r="H29" s="32"/>
      <c r="K29" s="34"/>
      <c r="L29" s="32"/>
      <c r="M29" s="50"/>
      <c r="N29" s="89" t="s">
        <v>128</v>
      </c>
      <c r="O29" s="32"/>
      <c r="R29" s="34"/>
      <c r="S29" s="13"/>
      <c r="T29" s="32"/>
      <c r="U29" s="35"/>
      <c r="X29" s="34"/>
      <c r="Z29" s="34"/>
      <c r="AA29" s="7"/>
      <c r="AB29" s="36"/>
      <c r="AD29" s="34"/>
      <c r="AE29" s="37"/>
      <c r="AF29" s="32"/>
      <c r="AI29" s="34"/>
      <c r="AN29" s="10"/>
      <c r="AO29" s="32"/>
      <c r="AP29" s="32"/>
      <c r="AQ29" s="48"/>
      <c r="AZ29" s="32"/>
      <c r="BD29" s="43"/>
      <c r="BE29" s="13"/>
      <c r="BH29" s="34"/>
      <c r="BL29" s="34"/>
      <c r="BM29" s="32"/>
      <c r="BP29" s="34"/>
      <c r="BQ29" s="32"/>
      <c r="BS29" s="32"/>
      <c r="BT29" s="34"/>
      <c r="BW29" s="32"/>
      <c r="BZ29" s="34"/>
      <c r="CA29" s="6"/>
      <c r="CD29" s="34"/>
      <c r="CE29" s="32"/>
      <c r="CF29" s="32"/>
      <c r="CG29" s="32"/>
      <c r="CM29" s="32"/>
      <c r="CN29" s="32"/>
      <c r="CO29" s="32"/>
      <c r="CQ29" s="36"/>
      <c r="CR29" s="36"/>
      <c r="CS29" s="36"/>
      <c r="CT29" s="34"/>
      <c r="CV29" s="48"/>
    </row>
    <row r="30" spans="1:100" s="4" customFormat="1" ht="12.75">
      <c r="A30" s="7"/>
      <c r="E30" s="13"/>
      <c r="F30" s="34"/>
      <c r="G30" s="13"/>
      <c r="H30" s="32"/>
      <c r="K30" s="34"/>
      <c r="L30" s="32"/>
      <c r="M30" s="50"/>
      <c r="N30" s="89" t="s">
        <v>174</v>
      </c>
      <c r="O30" s="32"/>
      <c r="R30" s="34"/>
      <c r="S30" s="13"/>
      <c r="T30" s="32"/>
      <c r="U30" s="35"/>
      <c r="X30" s="34"/>
      <c r="Z30" s="34"/>
      <c r="AA30" s="7"/>
      <c r="AB30" s="36"/>
      <c r="AD30" s="34"/>
      <c r="AE30" s="37"/>
      <c r="AF30" s="32"/>
      <c r="AI30" s="34"/>
      <c r="AN30" s="10"/>
      <c r="AO30" s="32"/>
      <c r="AP30" s="32"/>
      <c r="AQ30" s="48"/>
      <c r="AZ30" s="32"/>
      <c r="BD30" s="43"/>
      <c r="BE30" s="13"/>
      <c r="BH30" s="34"/>
      <c r="BL30" s="34"/>
      <c r="BM30" s="32"/>
      <c r="BP30" s="34"/>
      <c r="BQ30" s="32"/>
      <c r="BS30" s="32"/>
      <c r="BT30" s="34"/>
      <c r="BW30" s="32"/>
      <c r="BZ30" s="34"/>
      <c r="CA30" s="6"/>
      <c r="CD30" s="34"/>
      <c r="CE30" s="32"/>
      <c r="CF30" s="32"/>
      <c r="CG30" s="32"/>
      <c r="CM30" s="32"/>
      <c r="CN30" s="32"/>
      <c r="CO30" s="32"/>
      <c r="CQ30" s="36"/>
      <c r="CR30" s="36"/>
      <c r="CS30" s="36"/>
      <c r="CT30" s="34"/>
      <c r="CV30" s="48"/>
    </row>
    <row r="31" spans="1:100" s="4" customFormat="1" ht="12.75">
      <c r="A31" s="7"/>
      <c r="E31" s="13"/>
      <c r="F31" s="34"/>
      <c r="G31" s="13"/>
      <c r="H31" s="32"/>
      <c r="K31" s="34"/>
      <c r="L31" s="32"/>
      <c r="M31" s="50"/>
      <c r="N31" s="32"/>
      <c r="O31" s="32"/>
      <c r="R31" s="34"/>
      <c r="S31" s="13"/>
      <c r="T31" s="32"/>
      <c r="U31" s="35"/>
      <c r="X31" s="34"/>
      <c r="Z31" s="34"/>
      <c r="AA31" s="7"/>
      <c r="AB31" s="36"/>
      <c r="AD31" s="34"/>
      <c r="AE31" s="37"/>
      <c r="AF31" s="32"/>
      <c r="AI31" s="34"/>
      <c r="AN31" s="10"/>
      <c r="AO31" s="32"/>
      <c r="AP31" s="32"/>
      <c r="AQ31" s="48"/>
      <c r="AZ31" s="32"/>
      <c r="BD31" s="43"/>
      <c r="BE31" s="13"/>
      <c r="BH31" s="34"/>
      <c r="BL31" s="34"/>
      <c r="BM31" s="32"/>
      <c r="BP31" s="34"/>
      <c r="BQ31" s="32"/>
      <c r="BS31" s="32"/>
      <c r="BT31" s="34"/>
      <c r="BW31" s="32"/>
      <c r="BZ31" s="34"/>
      <c r="CA31" s="6"/>
      <c r="CD31" s="34"/>
      <c r="CE31" s="32"/>
      <c r="CF31" s="32"/>
      <c r="CG31" s="32"/>
      <c r="CM31" s="32"/>
      <c r="CN31" s="32"/>
      <c r="CO31" s="32"/>
      <c r="CQ31" s="36"/>
      <c r="CR31" s="36"/>
      <c r="CS31" s="36"/>
      <c r="CT31" s="34"/>
      <c r="CV31" s="48"/>
    </row>
    <row r="32" spans="1:100" s="6" customFormat="1" ht="49.5" customHeight="1">
      <c r="A32" s="73"/>
      <c r="B32" s="73" t="s">
        <v>175</v>
      </c>
      <c r="E32" s="11"/>
      <c r="F32" s="20"/>
      <c r="G32" s="11"/>
      <c r="H32" s="19"/>
      <c r="K32" s="20"/>
      <c r="L32" s="19"/>
      <c r="M32" s="49"/>
      <c r="N32" s="19"/>
      <c r="O32" s="19"/>
      <c r="R32" s="20"/>
      <c r="S32" s="11"/>
      <c r="T32" s="19"/>
      <c r="U32" s="21"/>
      <c r="X32" s="20"/>
      <c r="Z32" s="20"/>
      <c r="AB32" s="22"/>
      <c r="AD32" s="20"/>
      <c r="AE32" s="23"/>
      <c r="AF32" s="19"/>
      <c r="AI32" s="20"/>
      <c r="AN32" s="9"/>
      <c r="AO32" s="19"/>
      <c r="AP32" s="19"/>
      <c r="AQ32" s="45"/>
      <c r="AZ32" s="19"/>
      <c r="BD32" s="42"/>
      <c r="BE32" s="11"/>
      <c r="BH32" s="20"/>
      <c r="BL32" s="20"/>
      <c r="BM32" s="19"/>
      <c r="BP32" s="20"/>
      <c r="BQ32" s="19"/>
      <c r="BS32" s="19"/>
      <c r="BT32" s="20"/>
      <c r="BW32" s="19"/>
      <c r="BZ32" s="20"/>
      <c r="CD32" s="20"/>
      <c r="CE32" s="19"/>
      <c r="CF32" s="19"/>
      <c r="CG32" s="19"/>
      <c r="CM32" s="19"/>
      <c r="CN32" s="19"/>
      <c r="CO32" s="19"/>
      <c r="CQ32" s="22"/>
      <c r="CR32" s="22"/>
      <c r="CS32" s="22"/>
      <c r="CT32" s="20"/>
      <c r="CV32" s="45"/>
    </row>
    <row r="34" spans="1:152" ht="81" customHeight="1">
      <c r="A34" s="116" t="s">
        <v>126</v>
      </c>
      <c r="B34" s="120" t="s">
        <v>116</v>
      </c>
      <c r="C34" s="120"/>
      <c r="D34" s="120"/>
      <c r="E34" s="120"/>
      <c r="F34" s="120"/>
      <c r="G34" s="120"/>
      <c r="H34" s="120"/>
      <c r="I34" s="122" t="s">
        <v>67</v>
      </c>
      <c r="J34" s="122"/>
      <c r="K34" s="122"/>
      <c r="L34" s="122"/>
      <c r="M34" s="122"/>
      <c r="N34" s="122"/>
      <c r="O34" s="122"/>
      <c r="P34" s="120" t="s">
        <v>68</v>
      </c>
      <c r="Q34" s="120"/>
      <c r="R34" s="120"/>
      <c r="S34" s="120"/>
      <c r="T34" s="120"/>
      <c r="U34" s="120" t="s">
        <v>38</v>
      </c>
      <c r="V34" s="120"/>
      <c r="W34" s="120"/>
      <c r="X34" s="120"/>
      <c r="Y34" s="120"/>
      <c r="Z34" s="120"/>
      <c r="AA34" s="120" t="s">
        <v>39</v>
      </c>
      <c r="AB34" s="120"/>
      <c r="AC34" s="120"/>
      <c r="AD34" s="120"/>
      <c r="AE34" s="120"/>
      <c r="AF34" s="120"/>
      <c r="AG34" s="118" t="s">
        <v>44</v>
      </c>
      <c r="AH34" s="121"/>
      <c r="AI34" s="121"/>
      <c r="AJ34" s="121"/>
      <c r="AK34" s="119"/>
      <c r="AL34" s="118" t="s">
        <v>43</v>
      </c>
      <c r="AM34" s="121"/>
      <c r="AN34" s="121"/>
      <c r="AO34" s="121"/>
      <c r="AP34" s="119"/>
      <c r="AQ34" s="120" t="s">
        <v>69</v>
      </c>
      <c r="AR34" s="120"/>
      <c r="AS34" s="120"/>
      <c r="AT34" s="118" t="s">
        <v>47</v>
      </c>
      <c r="AU34" s="121"/>
      <c r="AV34" s="121"/>
      <c r="AW34" s="121"/>
      <c r="AX34" s="121"/>
      <c r="AY34" s="121"/>
      <c r="AZ34" s="119"/>
      <c r="BA34" s="120" t="s">
        <v>48</v>
      </c>
      <c r="BB34" s="120"/>
      <c r="BC34" s="120"/>
      <c r="BD34" s="120"/>
      <c r="BE34" s="120"/>
      <c r="BF34" s="118" t="s">
        <v>95</v>
      </c>
      <c r="BG34" s="121"/>
      <c r="BH34" s="121"/>
      <c r="BI34" s="119"/>
      <c r="BJ34" s="118" t="s">
        <v>70</v>
      </c>
      <c r="BK34" s="121"/>
      <c r="BL34" s="121"/>
      <c r="BM34" s="119"/>
      <c r="BN34" s="120" t="s">
        <v>98</v>
      </c>
      <c r="BO34" s="120"/>
      <c r="BP34" s="120"/>
      <c r="BQ34" s="120"/>
      <c r="BR34" s="120" t="s">
        <v>54</v>
      </c>
      <c r="BS34" s="120"/>
      <c r="BT34" s="120"/>
      <c r="BU34" s="120"/>
      <c r="BV34" s="120" t="s">
        <v>99</v>
      </c>
      <c r="BW34" s="120"/>
      <c r="BX34" s="120"/>
      <c r="BY34" s="120"/>
      <c r="BZ34" s="120"/>
      <c r="CA34" s="120"/>
      <c r="CB34" s="120" t="s">
        <v>102</v>
      </c>
      <c r="CC34" s="120"/>
      <c r="CD34" s="120"/>
      <c r="CE34" s="120"/>
      <c r="CF34" s="120"/>
      <c r="CG34" s="120"/>
      <c r="CH34" s="120" t="s">
        <v>71</v>
      </c>
      <c r="CI34" s="118"/>
      <c r="CJ34" s="118" t="s">
        <v>56</v>
      </c>
      <c r="CK34" s="121"/>
      <c r="CL34" s="121"/>
      <c r="CM34" s="121"/>
      <c r="CN34" s="121"/>
      <c r="CO34" s="119"/>
      <c r="CP34" s="118" t="s">
        <v>72</v>
      </c>
      <c r="CQ34" s="121"/>
      <c r="CR34" s="121"/>
      <c r="CS34" s="121"/>
      <c r="CT34" s="121"/>
      <c r="CU34" s="119"/>
      <c r="CV34" s="118" t="s">
        <v>73</v>
      </c>
      <c r="CW34" s="119"/>
      <c r="CX34" s="123" t="s">
        <v>108</v>
      </c>
      <c r="CY34" s="124"/>
      <c r="CZ34" s="124"/>
      <c r="DA34" s="124"/>
      <c r="DB34" s="124"/>
      <c r="DC34" s="124"/>
      <c r="DD34" s="125"/>
      <c r="DE34" s="118" t="s">
        <v>109</v>
      </c>
      <c r="DF34" s="119"/>
      <c r="DG34" s="118" t="s">
        <v>12</v>
      </c>
      <c r="DH34" s="119"/>
      <c r="DI34" s="118" t="s">
        <v>13</v>
      </c>
      <c r="DJ34" s="119"/>
      <c r="DK34" s="118" t="s">
        <v>14</v>
      </c>
      <c r="DL34" s="119"/>
      <c r="DM34" s="118" t="s">
        <v>15</v>
      </c>
      <c r="DN34" s="119"/>
      <c r="DO34" s="118" t="s">
        <v>16</v>
      </c>
      <c r="DP34" s="119"/>
      <c r="DQ34" s="118" t="s">
        <v>17</v>
      </c>
      <c r="DR34" s="119"/>
      <c r="DS34" s="118" t="s">
        <v>18</v>
      </c>
      <c r="DT34" s="119"/>
      <c r="DU34" s="118" t="s">
        <v>19</v>
      </c>
      <c r="DV34" s="119"/>
      <c r="DW34" s="126" t="s">
        <v>125</v>
      </c>
      <c r="DX34" s="93"/>
      <c r="DY34" s="92"/>
      <c r="DZ34" s="92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</row>
    <row r="35" spans="1:151" ht="240.75" customHeight="1">
      <c r="A35" s="117"/>
      <c r="B35" s="2" t="s">
        <v>23</v>
      </c>
      <c r="C35" s="2" t="s">
        <v>24</v>
      </c>
      <c r="D35" s="2" t="s">
        <v>25</v>
      </c>
      <c r="E35" s="12" t="s">
        <v>26</v>
      </c>
      <c r="F35" s="24" t="s">
        <v>136</v>
      </c>
      <c r="G35" s="12" t="s">
        <v>29</v>
      </c>
      <c r="H35" s="2" t="s">
        <v>137</v>
      </c>
      <c r="I35" s="2" t="s">
        <v>27</v>
      </c>
      <c r="J35" s="2" t="s">
        <v>84</v>
      </c>
      <c r="K35" s="24" t="s">
        <v>85</v>
      </c>
      <c r="L35" s="2" t="s">
        <v>28</v>
      </c>
      <c r="M35" s="24" t="s">
        <v>138</v>
      </c>
      <c r="N35" s="2" t="s">
        <v>29</v>
      </c>
      <c r="O35" s="2" t="s">
        <v>140</v>
      </c>
      <c r="P35" s="3" t="s">
        <v>34</v>
      </c>
      <c r="Q35" s="3" t="s">
        <v>35</v>
      </c>
      <c r="R35" s="25" t="s">
        <v>139</v>
      </c>
      <c r="S35" s="8" t="s">
        <v>29</v>
      </c>
      <c r="T35" s="3" t="s">
        <v>141</v>
      </c>
      <c r="U35" s="5" t="s">
        <v>37</v>
      </c>
      <c r="V35" s="3" t="s">
        <v>86</v>
      </c>
      <c r="W35" s="3" t="s">
        <v>130</v>
      </c>
      <c r="X35" s="25" t="s">
        <v>142</v>
      </c>
      <c r="Y35" s="3" t="s">
        <v>29</v>
      </c>
      <c r="Z35" s="25" t="s">
        <v>143</v>
      </c>
      <c r="AA35" s="3" t="s">
        <v>87</v>
      </c>
      <c r="AB35" s="82" t="s">
        <v>88</v>
      </c>
      <c r="AC35" s="3" t="s">
        <v>132</v>
      </c>
      <c r="AD35" s="24" t="s">
        <v>145</v>
      </c>
      <c r="AE35" s="2" t="s">
        <v>29</v>
      </c>
      <c r="AF35" s="25" t="s">
        <v>144</v>
      </c>
      <c r="AG35" s="3" t="s">
        <v>40</v>
      </c>
      <c r="AH35" s="3" t="s">
        <v>41</v>
      </c>
      <c r="AI35" s="24" t="s">
        <v>146</v>
      </c>
      <c r="AJ35" s="2" t="s">
        <v>29</v>
      </c>
      <c r="AK35" s="25" t="s">
        <v>147</v>
      </c>
      <c r="AL35" s="3" t="s">
        <v>42</v>
      </c>
      <c r="AM35" s="3" t="s">
        <v>2</v>
      </c>
      <c r="AN35" s="3" t="s">
        <v>148</v>
      </c>
      <c r="AO35" s="2" t="s">
        <v>29</v>
      </c>
      <c r="AP35" s="25" t="s">
        <v>149</v>
      </c>
      <c r="AQ35" s="46" t="s">
        <v>46</v>
      </c>
      <c r="AR35" s="2" t="s">
        <v>29</v>
      </c>
      <c r="AS35" s="25" t="s">
        <v>36</v>
      </c>
      <c r="AT35" s="3" t="s">
        <v>89</v>
      </c>
      <c r="AU35" s="3" t="s">
        <v>90</v>
      </c>
      <c r="AV35" s="3" t="s">
        <v>91</v>
      </c>
      <c r="AW35" s="3" t="s">
        <v>92</v>
      </c>
      <c r="AX35" s="3" t="s">
        <v>150</v>
      </c>
      <c r="AY35" s="2" t="s">
        <v>29</v>
      </c>
      <c r="AZ35" s="3" t="s">
        <v>151</v>
      </c>
      <c r="BA35" s="3" t="s">
        <v>93</v>
      </c>
      <c r="BB35" s="3" t="s">
        <v>94</v>
      </c>
      <c r="BC35" s="3" t="s">
        <v>152</v>
      </c>
      <c r="BD35" s="2" t="s">
        <v>29</v>
      </c>
      <c r="BE35" s="25" t="s">
        <v>153</v>
      </c>
      <c r="BF35" s="3" t="s">
        <v>62</v>
      </c>
      <c r="BG35" s="3" t="s">
        <v>61</v>
      </c>
      <c r="BH35" s="25" t="s">
        <v>154</v>
      </c>
      <c r="BI35" s="25" t="s">
        <v>155</v>
      </c>
      <c r="BJ35" s="3" t="s">
        <v>96</v>
      </c>
      <c r="BK35" s="3" t="s">
        <v>97</v>
      </c>
      <c r="BL35" s="25" t="s">
        <v>148</v>
      </c>
      <c r="BM35" s="25" t="s">
        <v>156</v>
      </c>
      <c r="BN35" s="3" t="s">
        <v>51</v>
      </c>
      <c r="BO35" s="3" t="s">
        <v>52</v>
      </c>
      <c r="BP35" s="25" t="s">
        <v>148</v>
      </c>
      <c r="BQ35" s="3" t="s">
        <v>157</v>
      </c>
      <c r="BR35" s="2" t="s">
        <v>53</v>
      </c>
      <c r="BS35" s="2" t="s">
        <v>49</v>
      </c>
      <c r="BT35" s="25" t="s">
        <v>154</v>
      </c>
      <c r="BU35" s="3" t="s">
        <v>158</v>
      </c>
      <c r="BV35" s="3" t="s">
        <v>63</v>
      </c>
      <c r="BW35" s="3" t="s">
        <v>100</v>
      </c>
      <c r="BX35" s="3" t="s">
        <v>55</v>
      </c>
      <c r="BY35" s="3" t="s">
        <v>101</v>
      </c>
      <c r="BZ35" s="25" t="s">
        <v>159</v>
      </c>
      <c r="CA35" s="3" t="s">
        <v>160</v>
      </c>
      <c r="CB35" s="3" t="s">
        <v>103</v>
      </c>
      <c r="CC35" s="3" t="s">
        <v>104</v>
      </c>
      <c r="CD35" s="25" t="s">
        <v>105</v>
      </c>
      <c r="CE35" s="3" t="s">
        <v>106</v>
      </c>
      <c r="CF35" s="3" t="s">
        <v>161</v>
      </c>
      <c r="CG35" s="3" t="s">
        <v>162</v>
      </c>
      <c r="CH35" s="3" t="s">
        <v>107</v>
      </c>
      <c r="CI35" s="3" t="s">
        <v>163</v>
      </c>
      <c r="CJ35" s="3" t="s">
        <v>112</v>
      </c>
      <c r="CK35" s="3" t="s">
        <v>113</v>
      </c>
      <c r="CL35" s="3" t="s">
        <v>114</v>
      </c>
      <c r="CM35" s="3" t="s">
        <v>115</v>
      </c>
      <c r="CN35" s="3" t="s">
        <v>164</v>
      </c>
      <c r="CO35" s="3" t="s">
        <v>165</v>
      </c>
      <c r="CP35" s="3" t="s">
        <v>58</v>
      </c>
      <c r="CQ35" s="82" t="s">
        <v>57</v>
      </c>
      <c r="CR35" s="82" t="s">
        <v>60</v>
      </c>
      <c r="CS35" s="82" t="s">
        <v>59</v>
      </c>
      <c r="CT35" s="25" t="s">
        <v>166</v>
      </c>
      <c r="CU35" s="3" t="s">
        <v>167</v>
      </c>
      <c r="CV35" s="46" t="s">
        <v>64</v>
      </c>
      <c r="CW35" s="3" t="s">
        <v>168</v>
      </c>
      <c r="CX35" s="39" t="s">
        <v>3</v>
      </c>
      <c r="CY35" s="39" t="s">
        <v>4</v>
      </c>
      <c r="CZ35" s="39" t="s">
        <v>5</v>
      </c>
      <c r="DA35" s="39" t="s">
        <v>6</v>
      </c>
      <c r="DB35" s="90" t="s">
        <v>7</v>
      </c>
      <c r="DC35" s="3" t="s">
        <v>169</v>
      </c>
      <c r="DD35" s="3" t="s">
        <v>170</v>
      </c>
      <c r="DE35" s="39" t="s">
        <v>110</v>
      </c>
      <c r="DF35" s="3" t="s">
        <v>171</v>
      </c>
      <c r="DG35" s="39" t="s">
        <v>8</v>
      </c>
      <c r="DH35" s="3" t="s">
        <v>1</v>
      </c>
      <c r="DI35" s="39" t="s">
        <v>9</v>
      </c>
      <c r="DJ35" s="3" t="s">
        <v>1</v>
      </c>
      <c r="DK35" s="39" t="s">
        <v>10</v>
      </c>
      <c r="DL35" s="3" t="s">
        <v>1</v>
      </c>
      <c r="DM35" s="39" t="s">
        <v>11</v>
      </c>
      <c r="DN35" s="3" t="s">
        <v>1</v>
      </c>
      <c r="DO35" s="39" t="s">
        <v>20</v>
      </c>
      <c r="DP35" s="3" t="s">
        <v>1</v>
      </c>
      <c r="DQ35" s="39" t="s">
        <v>134</v>
      </c>
      <c r="DR35" s="3" t="s">
        <v>1</v>
      </c>
      <c r="DS35" s="39" t="s">
        <v>21</v>
      </c>
      <c r="DT35" s="3" t="s">
        <v>1</v>
      </c>
      <c r="DU35" s="39" t="s">
        <v>22</v>
      </c>
      <c r="DV35" s="3" t="s">
        <v>1</v>
      </c>
      <c r="DW35" s="127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</row>
    <row r="36" spans="1:145" ht="15">
      <c r="A36" s="1" t="s">
        <v>117</v>
      </c>
      <c r="B36" s="14">
        <f>SUM(B37:B46)</f>
        <v>360.70000000000005</v>
      </c>
      <c r="C36" s="14">
        <f>SUM(C37:C46)</f>
        <v>74461.7</v>
      </c>
      <c r="D36" s="31">
        <f>SUM(D37:D46)</f>
        <v>50566.1</v>
      </c>
      <c r="E36" s="28"/>
      <c r="F36" s="55"/>
      <c r="G36" s="41"/>
      <c r="H36" s="74"/>
      <c r="I36" s="31"/>
      <c r="J36" s="15">
        <f>SUM(J37:J46)</f>
        <v>72408.1</v>
      </c>
      <c r="K36" s="75">
        <f>SUM(K37:K46)</f>
        <v>50625.29999999999</v>
      </c>
      <c r="L36" s="15"/>
      <c r="M36" s="56"/>
      <c r="N36" s="41"/>
      <c r="O36" s="51"/>
      <c r="P36" s="14">
        <v>1600</v>
      </c>
      <c r="Q36" s="75">
        <v>1600</v>
      </c>
      <c r="R36" s="58"/>
      <c r="S36" s="41"/>
      <c r="T36" s="51"/>
      <c r="U36" s="16">
        <f>SUM(U37:U46)</f>
        <v>2.4</v>
      </c>
      <c r="V36" s="78">
        <f>SUM(V37:V46)</f>
        <v>73883.1</v>
      </c>
      <c r="W36" s="78">
        <f>SUM(W37:W46)</f>
        <v>616.4</v>
      </c>
      <c r="X36" s="58"/>
      <c r="Y36" s="41"/>
      <c r="Z36" s="51"/>
      <c r="AA36" s="80">
        <f>SUM(AA37:AA46)</f>
        <v>500</v>
      </c>
      <c r="AB36" s="80">
        <f>SUM(AB37:AB46)</f>
        <v>360.70000000000005</v>
      </c>
      <c r="AC36" s="80">
        <f>SUM(AC37:AC46)</f>
        <v>500</v>
      </c>
      <c r="AD36" s="58"/>
      <c r="AE36" s="41"/>
      <c r="AF36" s="51"/>
      <c r="AG36" s="75">
        <f>SUM(AG37:AG46)</f>
        <v>11672.500000000002</v>
      </c>
      <c r="AH36" s="75">
        <f>SUM(AH37:AH46)</f>
        <v>12616</v>
      </c>
      <c r="AI36" s="58"/>
      <c r="AJ36" s="41"/>
      <c r="AK36" s="51"/>
      <c r="AL36" s="31">
        <f>SUM(AL37:AL46)</f>
        <v>6778.199999999999</v>
      </c>
      <c r="AM36" s="31">
        <f>SUM(AM37:AM46)</f>
        <v>6866.2</v>
      </c>
      <c r="AN36" s="66"/>
      <c r="AO36" s="41"/>
      <c r="AP36" s="51"/>
      <c r="AQ36" s="47">
        <f>SUM(AQ37:AQ46)</f>
        <v>97</v>
      </c>
      <c r="AR36" s="41"/>
      <c r="AS36" s="51"/>
      <c r="AT36" s="17"/>
      <c r="AU36" s="29"/>
      <c r="AV36" s="17"/>
      <c r="AW36" s="17"/>
      <c r="AX36" s="68"/>
      <c r="AY36" s="41"/>
      <c r="AZ36" s="51"/>
      <c r="BA36" s="17"/>
      <c r="BB36" s="17">
        <f>SUM(BB37:BB46)</f>
        <v>1400</v>
      </c>
      <c r="BC36" s="69"/>
      <c r="BD36" s="41"/>
      <c r="BE36" s="51"/>
      <c r="BF36" s="17">
        <f>BF37</f>
        <v>5094.4</v>
      </c>
      <c r="BG36" s="76">
        <f>SUM(BG37:BG46)</f>
        <v>73266.7</v>
      </c>
      <c r="BH36" s="59"/>
      <c r="BI36" s="51"/>
      <c r="BJ36" s="17">
        <f>SUM(BJ37:BJ46)</f>
        <v>0</v>
      </c>
      <c r="BK36" s="17">
        <f>SUM(BK37:BK46)</f>
        <v>11</v>
      </c>
      <c r="BL36" s="58"/>
      <c r="BM36" s="51"/>
      <c r="BN36" s="17">
        <f>SUM(BN37:BN46)</f>
        <v>21782.799999999996</v>
      </c>
      <c r="BO36" s="17">
        <f>SUM(BO37:BO46)</f>
        <v>17224.1</v>
      </c>
      <c r="BP36" s="58">
        <f aca="true" t="shared" si="50" ref="BP36:BP46">BN36/BO36</f>
        <v>1.2646698521258004</v>
      </c>
      <c r="BQ36" s="51"/>
      <c r="BR36" s="14">
        <f>SUM(BR37:BR46)</f>
        <v>23895.600000000006</v>
      </c>
      <c r="BS36" s="14">
        <f>SUM(BS37:BS46)</f>
        <v>21782.799999999996</v>
      </c>
      <c r="BT36" s="58"/>
      <c r="BU36" s="51"/>
      <c r="BV36" s="17">
        <f>SUM(BV37:BV46)</f>
        <v>21782.799999999996</v>
      </c>
      <c r="BW36" s="17">
        <f>SUM(BW37:BW46)</f>
        <v>9582.4</v>
      </c>
      <c r="BX36" s="17">
        <f>SUM(BX37:BX46)</f>
        <v>19435.800000000003</v>
      </c>
      <c r="BY36" s="16">
        <f>SUM(BY37:BY46)</f>
        <v>10252.400000000001</v>
      </c>
      <c r="BZ36" s="58"/>
      <c r="CA36" s="51"/>
      <c r="CB36" s="75">
        <f aca="true" t="shared" si="51" ref="CB36:CM36">SUM(CB37:CB46)</f>
        <v>11912.599999999993</v>
      </c>
      <c r="CC36" s="75">
        <f t="shared" si="51"/>
        <v>5521.700000000001</v>
      </c>
      <c r="CD36" s="75">
        <f t="shared" si="51"/>
        <v>7924.499999999999</v>
      </c>
      <c r="CE36" s="75">
        <f t="shared" si="51"/>
        <v>9102.300000000003</v>
      </c>
      <c r="CF36" s="69"/>
      <c r="CG36" s="103"/>
      <c r="CH36" s="17">
        <f t="shared" si="51"/>
        <v>0</v>
      </c>
      <c r="CI36" s="51"/>
      <c r="CJ36" s="17">
        <f t="shared" si="51"/>
        <v>23.9</v>
      </c>
      <c r="CK36" s="113">
        <f t="shared" si="51"/>
        <v>73883.1</v>
      </c>
      <c r="CL36" s="17">
        <f t="shared" si="51"/>
        <v>40.3</v>
      </c>
      <c r="CM36" s="17">
        <f t="shared" si="51"/>
        <v>62661.600000000006</v>
      </c>
      <c r="CN36" s="41"/>
      <c r="CO36" s="51"/>
      <c r="CP36" s="14">
        <v>1600</v>
      </c>
      <c r="CQ36" s="14">
        <f>SUM(CQ37:CQ46)</f>
        <v>23895.600000000006</v>
      </c>
      <c r="CR36" s="31">
        <f>SUM(CR37:CR46)</f>
        <v>0</v>
      </c>
      <c r="CS36" s="31">
        <f>SUM(CS37:CS46)</f>
        <v>20578.2</v>
      </c>
      <c r="CT36" s="58"/>
      <c r="CU36" s="51"/>
      <c r="CV36" s="47"/>
      <c r="CW36" s="51"/>
      <c r="CX36" s="17">
        <f>SUM(CX37:CX46)</f>
        <v>8</v>
      </c>
      <c r="CY36" s="17">
        <f>SUM(CY37:CY46)</f>
        <v>10</v>
      </c>
      <c r="CZ36" s="17">
        <f>SUM(CZ37:CZ46)</f>
        <v>9</v>
      </c>
      <c r="DA36" s="17">
        <f>SUM(DA37:DA46)</f>
        <v>10</v>
      </c>
      <c r="DB36" s="17">
        <f>SUM(DB37:DB46)</f>
        <v>3</v>
      </c>
      <c r="DC36" s="41"/>
      <c r="DD36" s="51"/>
      <c r="DE36" s="29">
        <f>SUM(DE37:DE46)</f>
        <v>0</v>
      </c>
      <c r="DF36" s="51"/>
      <c r="DG36" s="17">
        <f>SUM(DG37:DG46)</f>
        <v>0</v>
      </c>
      <c r="DH36" s="51"/>
      <c r="DI36" s="17">
        <f>SUM(DI37:DI46)</f>
        <v>3</v>
      </c>
      <c r="DJ36" s="51"/>
      <c r="DK36" s="17">
        <f>SUM(DK37:DK46)</f>
        <v>1</v>
      </c>
      <c r="DL36" s="51"/>
      <c r="DM36" s="17">
        <f>SUM(DM37:DM46)</f>
        <v>7</v>
      </c>
      <c r="DN36" s="51"/>
      <c r="DO36" s="17">
        <f>SUM(DO37:DO46)</f>
        <v>0</v>
      </c>
      <c r="DP36" s="51"/>
      <c r="DQ36" s="17">
        <f>SUM(DQ37:DQ46)</f>
        <v>0</v>
      </c>
      <c r="DR36" s="51"/>
      <c r="DS36" s="17">
        <f>SUM(DS37:DS46)</f>
        <v>7</v>
      </c>
      <c r="DT36" s="51"/>
      <c r="DU36" s="17">
        <f>SUM(DU37:DU46)</f>
        <v>0</v>
      </c>
      <c r="DV36" s="51"/>
      <c r="DW36" s="9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</row>
    <row r="37" spans="1:145" ht="15">
      <c r="A37" s="81" t="s">
        <v>83</v>
      </c>
      <c r="B37" s="14"/>
      <c r="C37" s="14">
        <v>58984.7</v>
      </c>
      <c r="D37" s="31">
        <v>39306</v>
      </c>
      <c r="E37" s="28"/>
      <c r="F37" s="55">
        <f aca="true" t="shared" si="52" ref="F37:F46">(B37)/(C37-D37-E37)</f>
        <v>0</v>
      </c>
      <c r="G37" s="41" t="s">
        <v>135</v>
      </c>
      <c r="H37" s="74">
        <f aca="true" t="shared" si="53" ref="H37:H46">IF(F37&lt;=0.05,1,0)</f>
        <v>1</v>
      </c>
      <c r="I37" s="31"/>
      <c r="J37" s="15">
        <v>57327.6</v>
      </c>
      <c r="K37" s="75">
        <v>39392.1</v>
      </c>
      <c r="L37" s="29"/>
      <c r="M37" s="56">
        <f>I37/(J37-K37-L37)</f>
        <v>0</v>
      </c>
      <c r="N37" s="41" t="s">
        <v>32</v>
      </c>
      <c r="O37" s="51">
        <f>IF(M37&lt;=0.5,1,0)</f>
        <v>1</v>
      </c>
      <c r="P37" s="14">
        <v>1600</v>
      </c>
      <c r="Q37" s="31">
        <v>1600</v>
      </c>
      <c r="R37" s="58">
        <f>IF(P37&gt;0,Q37/P37,0)</f>
        <v>1</v>
      </c>
      <c r="S37" s="41" t="s">
        <v>33</v>
      </c>
      <c r="T37" s="51">
        <f aca="true" t="shared" si="54" ref="T37:T46">IF(P37&gt;Q37,0,1)</f>
        <v>1</v>
      </c>
      <c r="U37" s="16">
        <v>2.4</v>
      </c>
      <c r="V37" s="78">
        <v>58206.7</v>
      </c>
      <c r="W37" s="31">
        <v>20.1</v>
      </c>
      <c r="X37" s="58">
        <f>U37/(V37-W37)</f>
        <v>4.124661004423699E-05</v>
      </c>
      <c r="Y37" s="41" t="s">
        <v>31</v>
      </c>
      <c r="Z37" s="51">
        <f aca="true" t="shared" si="55" ref="Z37:Z46">IF(X37&lt;=0.15,1,0)</f>
        <v>1</v>
      </c>
      <c r="AA37" s="80">
        <v>500</v>
      </c>
      <c r="AB37" s="31"/>
      <c r="AC37" s="31">
        <v>500</v>
      </c>
      <c r="AD37" s="58">
        <f>AA37/(AB37+AC37)</f>
        <v>1</v>
      </c>
      <c r="AE37" s="41" t="s">
        <v>33</v>
      </c>
      <c r="AF37" s="51">
        <f>IF(AA37&lt;=(AB37+AC37),1,0)</f>
        <v>1</v>
      </c>
      <c r="AG37" s="17">
        <v>4728</v>
      </c>
      <c r="AH37" s="17">
        <v>4728</v>
      </c>
      <c r="AI37" s="58">
        <f>AG37/AH37</f>
        <v>1</v>
      </c>
      <c r="AJ37" s="41" t="s">
        <v>33</v>
      </c>
      <c r="AK37" s="51">
        <f aca="true" t="shared" si="56" ref="AK37:AK46">IF(AI37&lt;=1,1,0)</f>
        <v>1</v>
      </c>
      <c r="AL37" s="31">
        <v>2561.7</v>
      </c>
      <c r="AM37" s="31">
        <v>2575</v>
      </c>
      <c r="AN37" s="66">
        <f aca="true" t="shared" si="57" ref="AN37:AN46">AL37/AM37</f>
        <v>0.9948349514563106</v>
      </c>
      <c r="AO37" s="41" t="s">
        <v>33</v>
      </c>
      <c r="AP37" s="51">
        <f aca="true" t="shared" si="58" ref="AP37:AP46">IF(AN37&lt;=1,1,0)</f>
        <v>1</v>
      </c>
      <c r="AQ37" s="47">
        <v>15</v>
      </c>
      <c r="AR37" s="41" t="s">
        <v>45</v>
      </c>
      <c r="AS37" s="51">
        <f aca="true" t="shared" si="59" ref="AS37:AS46">IF(AQ37&lt;=5,1,0)</f>
        <v>0</v>
      </c>
      <c r="AT37" s="17"/>
      <c r="AU37" s="29"/>
      <c r="AV37" s="17"/>
      <c r="AW37" s="17"/>
      <c r="AX37" s="68">
        <f aca="true" t="shared" si="60" ref="AX37:AX46">AT37+AU37+AV37+AW37</f>
        <v>0</v>
      </c>
      <c r="AY37" s="41">
        <v>0</v>
      </c>
      <c r="AZ37" s="51">
        <f>IF(AX37&gt;0,-1,0)</f>
        <v>0</v>
      </c>
      <c r="BA37" s="17"/>
      <c r="BB37" s="17">
        <v>1400</v>
      </c>
      <c r="BC37" s="69">
        <f>BA37/BB37</f>
        <v>0</v>
      </c>
      <c r="BD37" s="41" t="s">
        <v>50</v>
      </c>
      <c r="BE37" s="51">
        <f>IF(BA37=0,1,0)</f>
        <v>1</v>
      </c>
      <c r="BF37" s="17">
        <v>5094.4</v>
      </c>
      <c r="BG37" s="63">
        <f>V37-W37</f>
        <v>58186.6</v>
      </c>
      <c r="BH37" s="59">
        <f aca="true" t="shared" si="61" ref="BH37:BH46">BF37/BG37</f>
        <v>0.08755280425390038</v>
      </c>
      <c r="BI37" s="51">
        <f>IF(BH37&gt;=0.6,5,IF(BH37&lt;0.3,-1,2))</f>
        <v>-1</v>
      </c>
      <c r="BJ37" s="17">
        <v>0</v>
      </c>
      <c r="BK37" s="17">
        <v>2</v>
      </c>
      <c r="BL37" s="58">
        <f aca="true" t="shared" si="62" ref="BL37:BL46">BJ37/BK37</f>
        <v>0</v>
      </c>
      <c r="BM37" s="51">
        <f>IF(BL37=0.1,2,IF(BL37&lt;0.05,-1,1))</f>
        <v>-1</v>
      </c>
      <c r="BN37" s="17">
        <v>17935.6</v>
      </c>
      <c r="BO37" s="17">
        <v>14135.5</v>
      </c>
      <c r="BP37" s="58">
        <f>BN37/BO37</f>
        <v>1.2688337872731774</v>
      </c>
      <c r="BQ37" s="51">
        <f aca="true" t="shared" si="63" ref="BQ37:BQ46">IF(AND(BP37&gt;=0.95,BP37&lt;=1.05),1,IF(OR(AND(BP37&gt;=0.85,BP37&lt;0.95),AND(BP37&gt;1.05,BP37&lt;=1.15)),0.5,0))</f>
        <v>0</v>
      </c>
      <c r="BR37" s="95">
        <v>19678.7</v>
      </c>
      <c r="BS37" s="100">
        <v>17935.6</v>
      </c>
      <c r="BT37" s="98">
        <f>BR37/BS37</f>
        <v>1.097186600950066</v>
      </c>
      <c r="BU37" s="51">
        <f aca="true" t="shared" si="64" ref="BU37:BU46">IF(AND(BT37&gt;=0.98,BT37&lt;=1.02),1,0)</f>
        <v>0</v>
      </c>
      <c r="BV37" s="17">
        <v>17935.6</v>
      </c>
      <c r="BW37" s="18">
        <v>4851.6</v>
      </c>
      <c r="BX37" s="17">
        <v>16405.3</v>
      </c>
      <c r="BY37" s="17">
        <v>6009.8</v>
      </c>
      <c r="BZ37" s="58">
        <f>(BV37/BW37)/(BX37/BY37)</f>
        <v>1.3542746994780757</v>
      </c>
      <c r="CA37" s="51">
        <f aca="true" t="shared" si="65" ref="CA37:CA46">IF(BZ37&gt;=1,1,0)</f>
        <v>1</v>
      </c>
      <c r="CB37" s="17">
        <f>24417.6-CC37-CD37-CE37</f>
        <v>8561.899999999996</v>
      </c>
      <c r="CC37" s="18">
        <v>4042.9</v>
      </c>
      <c r="CD37" s="18">
        <f>9243.8-CC37</f>
        <v>5200.9</v>
      </c>
      <c r="CE37" s="18">
        <f>15855.7-CC37-CD37</f>
        <v>6611.9000000000015</v>
      </c>
      <c r="CF37" s="71">
        <f>CB37/((CC37+CD37+CE37)/3)</f>
        <v>1.6199663212598616</v>
      </c>
      <c r="CG37" s="51">
        <f>IF(AND(CF37&gt;=0.7,CF37&lt;=1.3),1,IF(OR(AND(CF37&gt;=0.5,CF37&lt;0.7),AND(CF37&gt;1.3,CF37&lt;=1.5)),0.5,0))</f>
        <v>0</v>
      </c>
      <c r="CH37" s="17">
        <v>0</v>
      </c>
      <c r="CI37" s="51">
        <f aca="true" t="shared" si="66" ref="CI37:CI46">IF(CH37&gt;0,-1,0)</f>
        <v>0</v>
      </c>
      <c r="CJ37" s="17">
        <v>20.4</v>
      </c>
      <c r="CK37" s="111">
        <v>58206.7</v>
      </c>
      <c r="CL37" s="17">
        <v>40.3</v>
      </c>
      <c r="CM37" s="18">
        <v>47969.2</v>
      </c>
      <c r="CN37" s="115">
        <f>(CJ37/CK37)/(CL37/CM37)</f>
        <v>0.41717148854654423</v>
      </c>
      <c r="CO37" s="51">
        <f aca="true" t="shared" si="67" ref="CO37:CO46">IF(CN37&lt;=1,1,0)</f>
        <v>1</v>
      </c>
      <c r="CP37" s="14">
        <v>1600</v>
      </c>
      <c r="CQ37" s="95">
        <v>19678.7</v>
      </c>
      <c r="CR37" s="31">
        <v>0</v>
      </c>
      <c r="CS37" s="31">
        <v>17343.3</v>
      </c>
      <c r="CT37" s="58">
        <f>IF(CR37/CS37&gt;0,(CP37/CQ37)/(CR37/CS37),0)</f>
        <v>0</v>
      </c>
      <c r="CU37" s="51">
        <f>IF(CR37=0,1,IF(CT37&lt;1,1,0))</f>
        <v>1</v>
      </c>
      <c r="CV37" s="47"/>
      <c r="CW37" s="51">
        <f aca="true" t="shared" si="68" ref="CW37:CW46">IF(ISBLANK(CV37),0,-1)</f>
        <v>0</v>
      </c>
      <c r="CX37" s="17">
        <v>1</v>
      </c>
      <c r="CY37" s="17">
        <v>1</v>
      </c>
      <c r="CZ37" s="17">
        <v>1</v>
      </c>
      <c r="DA37" s="17">
        <v>1</v>
      </c>
      <c r="DB37" s="17">
        <v>0</v>
      </c>
      <c r="DC37" s="41">
        <f>CX37+CY37+CZ37+DA37+DB37</f>
        <v>4</v>
      </c>
      <c r="DD37" s="51">
        <f>IF(DC37&gt;=4,1,0)</f>
        <v>1</v>
      </c>
      <c r="DE37" s="29"/>
      <c r="DF37" s="51">
        <f aca="true" t="shared" si="69" ref="DF37:DF46">IF(ISBLANK(DE37),0,-1)</f>
        <v>0</v>
      </c>
      <c r="DG37" s="17"/>
      <c r="DH37" s="51">
        <f>IF(ISBLANK(DG37),0,0.5)</f>
        <v>0</v>
      </c>
      <c r="DI37" s="17">
        <v>1</v>
      </c>
      <c r="DJ37" s="51">
        <f aca="true" t="shared" si="70" ref="DJ37:DJ46">IF(ISBLANK(DI37),0,0.5)</f>
        <v>0.5</v>
      </c>
      <c r="DK37" s="17">
        <v>1</v>
      </c>
      <c r="DL37" s="51">
        <f aca="true" t="shared" si="71" ref="DL37:DL46">IF(ISBLANK(DK37),0,0.5)</f>
        <v>0.5</v>
      </c>
      <c r="DM37" s="17">
        <v>1</v>
      </c>
      <c r="DN37" s="51">
        <f>IF(ISBLANK(DM37),0,0.5)</f>
        <v>0.5</v>
      </c>
      <c r="DO37" s="17"/>
      <c r="DP37" s="51">
        <f>IF(ISBLANK(DO37),0,0.5)</f>
        <v>0</v>
      </c>
      <c r="DQ37" s="17"/>
      <c r="DR37" s="51">
        <f aca="true" t="shared" si="72" ref="DR37:DR46">IF(ISBLANK(DQ37),0,0.5)</f>
        <v>0</v>
      </c>
      <c r="DS37" s="17">
        <v>1</v>
      </c>
      <c r="DT37" s="51">
        <f>IF(ISBLANK(DS37),0,0.5)</f>
        <v>0.5</v>
      </c>
      <c r="DU37" s="17"/>
      <c r="DV37" s="51">
        <f aca="true" t="shared" si="73" ref="DV37:DV46">IF(ISBLANK(DU37),0,0.5)</f>
        <v>0</v>
      </c>
      <c r="DW37" s="102">
        <f>H37+O37+T37+Z37+AF37+AK37+AP37+AS37+AZ37+BE37+BI37+BM37+BQ37+BU37+CA37+CG37+CI37+CO37+CU37+CW37+DD37+DF37+DH37+DJ37+DL37+DN37+DP37+DR37+DT37+DV37</f>
        <v>12</v>
      </c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</row>
    <row r="38" spans="1:145" ht="15">
      <c r="A38" s="81" t="s">
        <v>74</v>
      </c>
      <c r="B38" s="14">
        <v>239.3</v>
      </c>
      <c r="C38" s="14">
        <v>1923.3</v>
      </c>
      <c r="D38" s="31">
        <v>1336.4</v>
      </c>
      <c r="E38" s="28"/>
      <c r="F38" s="55">
        <f t="shared" si="52"/>
        <v>0.4077355597205658</v>
      </c>
      <c r="G38" s="41" t="s">
        <v>30</v>
      </c>
      <c r="H38" s="74">
        <f t="shared" si="53"/>
        <v>0</v>
      </c>
      <c r="I38" s="31"/>
      <c r="J38" s="15">
        <v>1876.9</v>
      </c>
      <c r="K38" s="77">
        <v>1333.6</v>
      </c>
      <c r="L38" s="29"/>
      <c r="M38" s="56">
        <f aca="true" t="shared" si="74" ref="M38:M46">I38/(J38-K38-L38)</f>
        <v>0</v>
      </c>
      <c r="N38" s="41" t="s">
        <v>32</v>
      </c>
      <c r="O38" s="51">
        <f>IF(M38&lt;=0.5,1,0)</f>
        <v>1</v>
      </c>
      <c r="P38" s="14"/>
      <c r="Q38" s="31"/>
      <c r="R38" s="58">
        <f aca="true" t="shared" si="75" ref="R38:R46">IF(P39&gt;0,Q39/P39,0)</f>
        <v>0</v>
      </c>
      <c r="S38" s="41" t="s">
        <v>33</v>
      </c>
      <c r="T38" s="51">
        <f t="shared" si="54"/>
        <v>1</v>
      </c>
      <c r="U38" s="16"/>
      <c r="V38" s="78">
        <v>2162.6</v>
      </c>
      <c r="W38" s="31">
        <v>116</v>
      </c>
      <c r="X38" s="58">
        <f aca="true" t="shared" si="76" ref="X38:X46">U38/(V38-W38)</f>
        <v>0</v>
      </c>
      <c r="Y38" s="41" t="s">
        <v>31</v>
      </c>
      <c r="Z38" s="51">
        <f t="shared" si="55"/>
        <v>1</v>
      </c>
      <c r="AA38" s="80"/>
      <c r="AB38" s="31">
        <v>239.3</v>
      </c>
      <c r="AC38" s="31"/>
      <c r="AD38" s="58">
        <f aca="true" t="shared" si="77" ref="AD38:AD46">AA38/(AB38+AC38)</f>
        <v>0</v>
      </c>
      <c r="AE38" s="41" t="s">
        <v>33</v>
      </c>
      <c r="AF38" s="51">
        <f aca="true" t="shared" si="78" ref="AF38:AF46">IF(AA38&lt;=(AB38+AC38),1,0)</f>
        <v>1</v>
      </c>
      <c r="AG38" s="17">
        <v>725.3</v>
      </c>
      <c r="AH38" s="17">
        <v>955</v>
      </c>
      <c r="AI38" s="58">
        <f aca="true" t="shared" si="79" ref="AI38:AI46">AG38/AH38</f>
        <v>0.7594764397905759</v>
      </c>
      <c r="AJ38" s="41" t="s">
        <v>33</v>
      </c>
      <c r="AK38" s="51">
        <f t="shared" si="56"/>
        <v>1</v>
      </c>
      <c r="AL38" s="31">
        <v>454.2</v>
      </c>
      <c r="AM38" s="31">
        <v>458.9</v>
      </c>
      <c r="AN38" s="66">
        <f t="shared" si="57"/>
        <v>0.9897581172368708</v>
      </c>
      <c r="AO38" s="41" t="s">
        <v>33</v>
      </c>
      <c r="AP38" s="51">
        <f t="shared" si="58"/>
        <v>1</v>
      </c>
      <c r="AQ38" s="47">
        <v>9</v>
      </c>
      <c r="AR38" s="41" t="s">
        <v>45</v>
      </c>
      <c r="AS38" s="51">
        <f t="shared" si="59"/>
        <v>0</v>
      </c>
      <c r="AT38" s="17"/>
      <c r="AU38" s="29"/>
      <c r="AV38" s="17"/>
      <c r="AW38" s="17"/>
      <c r="AX38" s="68">
        <f t="shared" si="60"/>
        <v>0</v>
      </c>
      <c r="AY38" s="41">
        <v>0</v>
      </c>
      <c r="AZ38" s="51">
        <f aca="true" t="shared" si="80" ref="AZ38:AZ46">IF(AX38&gt;0,-1,0)</f>
        <v>0</v>
      </c>
      <c r="BA38" s="17"/>
      <c r="BB38" s="17"/>
      <c r="BC38" s="69">
        <f>IF(BB38&gt;0,BA38/BB38,0)</f>
        <v>0</v>
      </c>
      <c r="BD38" s="41" t="s">
        <v>50</v>
      </c>
      <c r="BE38" s="51">
        <f aca="true" t="shared" si="81" ref="BE38:BE46">IF(BA38=0,1,0)</f>
        <v>1</v>
      </c>
      <c r="BF38" s="17"/>
      <c r="BG38" s="63">
        <f>V38-W38</f>
        <v>2046.6</v>
      </c>
      <c r="BH38" s="59">
        <f t="shared" si="61"/>
        <v>0</v>
      </c>
      <c r="BI38" s="51">
        <f aca="true" t="shared" si="82" ref="BI38:BI46">IF(BH38&gt;=0.6,5,IF(BH38&lt;0.3,-1,2))</f>
        <v>-1</v>
      </c>
      <c r="BJ38" s="17">
        <v>0</v>
      </c>
      <c r="BK38" s="17">
        <v>1</v>
      </c>
      <c r="BL38" s="58">
        <f t="shared" si="62"/>
        <v>0</v>
      </c>
      <c r="BM38" s="51">
        <f aca="true" t="shared" si="83" ref="BM38:BM46">IF(BL38=0.1,2,IF(BL38&lt;0.05,-1,1))</f>
        <v>-1</v>
      </c>
      <c r="BN38" s="17">
        <v>543.3</v>
      </c>
      <c r="BO38" s="17">
        <v>698.5</v>
      </c>
      <c r="BP38" s="58">
        <f t="shared" si="50"/>
        <v>0.7778095919828203</v>
      </c>
      <c r="BQ38" s="51">
        <f t="shared" si="63"/>
        <v>0</v>
      </c>
      <c r="BR38" s="96">
        <v>586.9</v>
      </c>
      <c r="BS38" s="100">
        <v>543.3</v>
      </c>
      <c r="BT38" s="98">
        <f>BR38/BS38</f>
        <v>1.0802503221056508</v>
      </c>
      <c r="BU38" s="51">
        <f t="shared" si="64"/>
        <v>0</v>
      </c>
      <c r="BV38" s="17">
        <v>543.3</v>
      </c>
      <c r="BW38" s="18">
        <v>335.5</v>
      </c>
      <c r="BX38" s="17">
        <v>619</v>
      </c>
      <c r="BY38" s="17">
        <v>341.3</v>
      </c>
      <c r="BZ38" s="58">
        <f>(BV38/BW38)/(BX38/BY38)</f>
        <v>0.8928794339218343</v>
      </c>
      <c r="CA38" s="51">
        <f t="shared" si="65"/>
        <v>0</v>
      </c>
      <c r="CB38" s="17">
        <f>1270.5-CC38-CD38-CE38</f>
        <v>376.6</v>
      </c>
      <c r="CC38" s="18">
        <v>193.5</v>
      </c>
      <c r="CD38" s="18">
        <f>465.1-CC38</f>
        <v>271.6</v>
      </c>
      <c r="CE38" s="18">
        <f>893.9-CC38-CD38</f>
        <v>428.79999999999995</v>
      </c>
      <c r="CF38" s="71">
        <f aca="true" t="shared" si="84" ref="CF38:CF46">CB38/((CC38+CD38+CE38)/3)</f>
        <v>1.2638997650743933</v>
      </c>
      <c r="CG38" s="51">
        <f aca="true" t="shared" si="85" ref="CG38:CG46">IF(AND(CF38&gt;=0.7,CF38&lt;=1.3),1,IF(OR(AND(CF38&gt;=0.5,CF38&lt;0.7),AND(CF38&gt;1.3,CF38&lt;=1.5)),0.5,0))</f>
        <v>1</v>
      </c>
      <c r="CH38" s="17">
        <v>0</v>
      </c>
      <c r="CI38" s="51">
        <f t="shared" si="66"/>
        <v>0</v>
      </c>
      <c r="CJ38" s="17"/>
      <c r="CK38" s="111">
        <v>2162.6</v>
      </c>
      <c r="CL38" s="17"/>
      <c r="CM38" s="18">
        <v>1304.4</v>
      </c>
      <c r="CN38" s="115">
        <f>IF(CL38/CM38&gt;0,(CJ38/CK38)/(CL38/CM38),0)</f>
        <v>0</v>
      </c>
      <c r="CO38" s="51">
        <f t="shared" si="67"/>
        <v>1</v>
      </c>
      <c r="CP38" s="14">
        <v>0</v>
      </c>
      <c r="CQ38" s="96">
        <v>586.9</v>
      </c>
      <c r="CR38" s="31">
        <v>0</v>
      </c>
      <c r="CS38" s="31">
        <v>702.8</v>
      </c>
      <c r="CT38" s="58">
        <f aca="true" t="shared" si="86" ref="CT38:CT46">IF(CR38/CS38&gt;0,(CP38/CQ38)/(CR38/CS38),0)</f>
        <v>0</v>
      </c>
      <c r="CU38" s="51">
        <f>IF(CR38=0,1,IF(CT38&lt;1,1,0))</f>
        <v>1</v>
      </c>
      <c r="CV38" s="47"/>
      <c r="CW38" s="51">
        <f t="shared" si="68"/>
        <v>0</v>
      </c>
      <c r="CX38" s="17">
        <v>1</v>
      </c>
      <c r="CY38" s="17">
        <v>1</v>
      </c>
      <c r="CZ38" s="17">
        <v>1</v>
      </c>
      <c r="DA38" s="17">
        <v>1</v>
      </c>
      <c r="DB38" s="17">
        <v>1</v>
      </c>
      <c r="DC38" s="41">
        <f>CX38+CY38+CZ38+DA38+DB38</f>
        <v>5</v>
      </c>
      <c r="DD38" s="51">
        <f aca="true" t="shared" si="87" ref="DD38:DD46">IF(DC38&gt;=4,1,0)</f>
        <v>1</v>
      </c>
      <c r="DE38" s="29"/>
      <c r="DF38" s="51">
        <f t="shared" si="69"/>
        <v>0</v>
      </c>
      <c r="DG38" s="17"/>
      <c r="DH38" s="51">
        <f aca="true" t="shared" si="88" ref="DH38:DH46">IF(ISBLANK(DG38),0,0.5)</f>
        <v>0</v>
      </c>
      <c r="DI38" s="17"/>
      <c r="DJ38" s="51">
        <f t="shared" si="70"/>
        <v>0</v>
      </c>
      <c r="DK38" s="17"/>
      <c r="DL38" s="51">
        <f t="shared" si="71"/>
        <v>0</v>
      </c>
      <c r="DM38" s="17"/>
      <c r="DN38" s="51">
        <f aca="true" t="shared" si="89" ref="DN38:DN46">IF(ISBLANK(DM38),0,0.5)</f>
        <v>0</v>
      </c>
      <c r="DO38" s="32"/>
      <c r="DP38" s="51">
        <f>IF(ISBLANK(DO38),0,0.5)</f>
        <v>0</v>
      </c>
      <c r="DQ38" s="17"/>
      <c r="DR38" s="51">
        <f t="shared" si="72"/>
        <v>0</v>
      </c>
      <c r="DS38" s="17">
        <v>1</v>
      </c>
      <c r="DT38" s="51">
        <f>IF(ISBLANK(DS38),0,0.5)</f>
        <v>0.5</v>
      </c>
      <c r="DU38" s="17"/>
      <c r="DV38" s="51">
        <f t="shared" si="73"/>
        <v>0</v>
      </c>
      <c r="DW38" s="102">
        <f aca="true" t="shared" si="90" ref="DW38:DW46">H38+O38+T38+Z38+AF38+AK38+AP38+AS38+AZ38+BE38+BI38+BM38+BQ38+BU38+CA38+CG38+CI38+CO38+CU38+CW38+DD38+DF38+DH38+DJ38+DL38+DN38+DP38+DR38+DT38+DV38</f>
        <v>9.5</v>
      </c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</row>
    <row r="39" spans="1:145" ht="15">
      <c r="A39" s="81" t="s">
        <v>82</v>
      </c>
      <c r="B39" s="14">
        <v>2.6</v>
      </c>
      <c r="C39" s="14">
        <v>1401.6</v>
      </c>
      <c r="D39" s="31">
        <v>1043.7</v>
      </c>
      <c r="E39" s="28"/>
      <c r="F39" s="55">
        <f t="shared" si="52"/>
        <v>0.007264599050013973</v>
      </c>
      <c r="G39" s="41" t="s">
        <v>30</v>
      </c>
      <c r="H39" s="74">
        <f t="shared" si="53"/>
        <v>1</v>
      </c>
      <c r="I39" s="31"/>
      <c r="J39" s="15">
        <v>1386.3</v>
      </c>
      <c r="K39" s="75">
        <v>1043.7</v>
      </c>
      <c r="L39" s="29"/>
      <c r="M39" s="56">
        <f t="shared" si="74"/>
        <v>0</v>
      </c>
      <c r="N39" s="41" t="s">
        <v>32</v>
      </c>
      <c r="O39" s="51">
        <f>IF(M39&lt;=0.5,1,0)</f>
        <v>1</v>
      </c>
      <c r="P39" s="14"/>
      <c r="Q39" s="31"/>
      <c r="R39" s="58">
        <f t="shared" si="75"/>
        <v>0</v>
      </c>
      <c r="S39" s="41" t="s">
        <v>33</v>
      </c>
      <c r="T39" s="51">
        <f t="shared" si="54"/>
        <v>1</v>
      </c>
      <c r="U39" s="16"/>
      <c r="V39" s="78">
        <v>1404.2</v>
      </c>
      <c r="W39" s="31">
        <v>55.2</v>
      </c>
      <c r="X39" s="58">
        <f t="shared" si="76"/>
        <v>0</v>
      </c>
      <c r="Y39" s="41" t="s">
        <v>31</v>
      </c>
      <c r="Z39" s="51">
        <f t="shared" si="55"/>
        <v>1</v>
      </c>
      <c r="AA39" s="80"/>
      <c r="AB39" s="31">
        <v>2.6</v>
      </c>
      <c r="AC39" s="31"/>
      <c r="AD39" s="58">
        <f t="shared" si="77"/>
        <v>0</v>
      </c>
      <c r="AE39" s="41" t="s">
        <v>33</v>
      </c>
      <c r="AF39" s="51">
        <f t="shared" si="78"/>
        <v>1</v>
      </c>
      <c r="AG39" s="17">
        <v>833.9</v>
      </c>
      <c r="AH39" s="17">
        <v>838</v>
      </c>
      <c r="AI39" s="58">
        <f t="shared" si="79"/>
        <v>0.9951073985680191</v>
      </c>
      <c r="AJ39" s="41" t="s">
        <v>33</v>
      </c>
      <c r="AK39" s="51">
        <f t="shared" si="56"/>
        <v>1</v>
      </c>
      <c r="AL39" s="31">
        <v>515.2</v>
      </c>
      <c r="AM39" s="31">
        <v>519</v>
      </c>
      <c r="AN39" s="66">
        <f t="shared" si="57"/>
        <v>0.9926782273603084</v>
      </c>
      <c r="AO39" s="41" t="s">
        <v>33</v>
      </c>
      <c r="AP39" s="51">
        <f t="shared" si="58"/>
        <v>1</v>
      </c>
      <c r="AQ39" s="47">
        <v>10</v>
      </c>
      <c r="AR39" s="41" t="s">
        <v>45</v>
      </c>
      <c r="AS39" s="51">
        <f t="shared" si="59"/>
        <v>0</v>
      </c>
      <c r="AT39" s="17"/>
      <c r="AU39" s="29"/>
      <c r="AV39" s="17"/>
      <c r="AW39" s="17"/>
      <c r="AX39" s="68">
        <f t="shared" si="60"/>
        <v>0</v>
      </c>
      <c r="AY39" s="41">
        <v>0</v>
      </c>
      <c r="AZ39" s="51">
        <f t="shared" si="80"/>
        <v>0</v>
      </c>
      <c r="BA39" s="17"/>
      <c r="BB39" s="17"/>
      <c r="BC39" s="69">
        <f aca="true" t="shared" si="91" ref="BC39:BC46">IF(BB39&gt;0,BA39/BB39,0)</f>
        <v>0</v>
      </c>
      <c r="BD39" s="41" t="s">
        <v>50</v>
      </c>
      <c r="BE39" s="51">
        <f t="shared" si="81"/>
        <v>1</v>
      </c>
      <c r="BF39" s="17"/>
      <c r="BG39" s="63">
        <f>V39-W39</f>
        <v>1349</v>
      </c>
      <c r="BH39" s="59">
        <f t="shared" si="61"/>
        <v>0</v>
      </c>
      <c r="BI39" s="51">
        <f t="shared" si="82"/>
        <v>-1</v>
      </c>
      <c r="BJ39" s="17">
        <v>0</v>
      </c>
      <c r="BK39" s="17">
        <v>1</v>
      </c>
      <c r="BL39" s="58">
        <f t="shared" si="62"/>
        <v>0</v>
      </c>
      <c r="BM39" s="51">
        <f t="shared" si="83"/>
        <v>-1</v>
      </c>
      <c r="BN39" s="17">
        <v>342.6</v>
      </c>
      <c r="BO39" s="17">
        <v>271.3</v>
      </c>
      <c r="BP39" s="58">
        <f t="shared" si="50"/>
        <v>1.2628086988573535</v>
      </c>
      <c r="BQ39" s="51">
        <f t="shared" si="63"/>
        <v>0</v>
      </c>
      <c r="BR39" s="96">
        <v>357.9</v>
      </c>
      <c r="BS39" s="100">
        <v>342.6</v>
      </c>
      <c r="BT39" s="98">
        <f aca="true" t="shared" si="92" ref="BT39:BT46">BR39/BS39</f>
        <v>1.0446584938704027</v>
      </c>
      <c r="BU39" s="51">
        <f t="shared" si="64"/>
        <v>0</v>
      </c>
      <c r="BV39" s="17">
        <v>342.6</v>
      </c>
      <c r="BW39" s="18">
        <v>582.9</v>
      </c>
      <c r="BX39" s="17">
        <v>234.2</v>
      </c>
      <c r="BY39" s="17">
        <v>479.7</v>
      </c>
      <c r="BZ39" s="58">
        <f>(BV39/BW39)/(BX39/BY39)</f>
        <v>1.2038604058537667</v>
      </c>
      <c r="CA39" s="51">
        <f t="shared" si="65"/>
        <v>1</v>
      </c>
      <c r="CB39" s="17">
        <f>1030.8-CC39-CD39-CE39</f>
        <v>378.79999999999995</v>
      </c>
      <c r="CC39" s="18">
        <v>117.8</v>
      </c>
      <c r="CD39" s="18">
        <f>520-CC39</f>
        <v>402.2</v>
      </c>
      <c r="CE39" s="18">
        <f>652-CC39-CD39</f>
        <v>132.00000000000006</v>
      </c>
      <c r="CF39" s="71">
        <f t="shared" si="84"/>
        <v>1.7429447852760733</v>
      </c>
      <c r="CG39" s="51">
        <f t="shared" si="85"/>
        <v>0</v>
      </c>
      <c r="CH39" s="17">
        <v>0</v>
      </c>
      <c r="CI39" s="51">
        <f t="shared" si="66"/>
        <v>0</v>
      </c>
      <c r="CJ39" s="17">
        <v>2.1</v>
      </c>
      <c r="CK39" s="112">
        <v>1404.2</v>
      </c>
      <c r="CL39" s="17"/>
      <c r="CM39" s="18">
        <v>4268.3</v>
      </c>
      <c r="CN39" s="115">
        <f aca="true" t="shared" si="93" ref="CN39:CN46">IF(CL39/CM39&gt;0,(CJ39/CK39)/(CL39/CM39),0)</f>
        <v>0</v>
      </c>
      <c r="CO39" s="51">
        <f t="shared" si="67"/>
        <v>1</v>
      </c>
      <c r="CP39" s="14">
        <v>0</v>
      </c>
      <c r="CQ39" s="96">
        <v>357.9</v>
      </c>
      <c r="CR39" s="31">
        <v>0</v>
      </c>
      <c r="CS39" s="31">
        <v>247.5</v>
      </c>
      <c r="CT39" s="58">
        <f t="shared" si="86"/>
        <v>0</v>
      </c>
      <c r="CU39" s="51">
        <f aca="true" t="shared" si="94" ref="CU39:CU46">IF(CR39=0,1,IF(CT39&lt;1,1,0))</f>
        <v>1</v>
      </c>
      <c r="CV39" s="47"/>
      <c r="CW39" s="51">
        <f t="shared" si="68"/>
        <v>0</v>
      </c>
      <c r="CX39" s="17">
        <v>1</v>
      </c>
      <c r="CY39" s="17">
        <v>1</v>
      </c>
      <c r="CZ39" s="17">
        <v>1</v>
      </c>
      <c r="DA39" s="17">
        <v>1</v>
      </c>
      <c r="DB39" s="17">
        <v>0</v>
      </c>
      <c r="DC39" s="41">
        <f>CX39+CY39+CZ39+DA39+DB39</f>
        <v>4</v>
      </c>
      <c r="DD39" s="51">
        <f t="shared" si="87"/>
        <v>1</v>
      </c>
      <c r="DE39" s="29"/>
      <c r="DF39" s="51">
        <f t="shared" si="69"/>
        <v>0</v>
      </c>
      <c r="DG39" s="17"/>
      <c r="DH39" s="51">
        <f t="shared" si="88"/>
        <v>0</v>
      </c>
      <c r="DI39" s="17">
        <v>1</v>
      </c>
      <c r="DJ39" s="51">
        <f t="shared" si="70"/>
        <v>0.5</v>
      </c>
      <c r="DK39" s="17"/>
      <c r="DL39" s="51">
        <f t="shared" si="71"/>
        <v>0</v>
      </c>
      <c r="DM39" s="17">
        <v>1</v>
      </c>
      <c r="DN39" s="51">
        <f t="shared" si="89"/>
        <v>0.5</v>
      </c>
      <c r="DO39" s="17"/>
      <c r="DP39" s="51">
        <f>IF(ISBLANK(DO39),0,0.5)</f>
        <v>0</v>
      </c>
      <c r="DQ39" s="17"/>
      <c r="DR39" s="51">
        <f t="shared" si="72"/>
        <v>0</v>
      </c>
      <c r="DS39" s="17">
        <v>1</v>
      </c>
      <c r="DT39" s="51">
        <f>IF(ISBLANK(DS39),0,0.5)</f>
        <v>0.5</v>
      </c>
      <c r="DU39" s="17"/>
      <c r="DV39" s="51">
        <f t="shared" si="73"/>
        <v>0</v>
      </c>
      <c r="DW39" s="102">
        <f t="shared" si="90"/>
        <v>11.5</v>
      </c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</row>
    <row r="40" spans="1:150" ht="15">
      <c r="A40" s="81" t="s">
        <v>75</v>
      </c>
      <c r="B40" s="52">
        <v>19.4</v>
      </c>
      <c r="C40" s="28">
        <v>2068.6</v>
      </c>
      <c r="D40" s="63">
        <v>1686.4</v>
      </c>
      <c r="E40" s="44"/>
      <c r="F40" s="55">
        <f t="shared" si="52"/>
        <v>0.05075876504447935</v>
      </c>
      <c r="G40" s="41" t="s">
        <v>30</v>
      </c>
      <c r="H40" s="74">
        <f t="shared" si="53"/>
        <v>0</v>
      </c>
      <c r="I40" s="63"/>
      <c r="J40" s="65">
        <v>2040.4</v>
      </c>
      <c r="K40" s="76">
        <v>1681.7</v>
      </c>
      <c r="L40" s="18"/>
      <c r="M40" s="59">
        <f t="shared" si="74"/>
        <v>0</v>
      </c>
      <c r="N40" s="41" t="s">
        <v>32</v>
      </c>
      <c r="O40" s="61">
        <f>IF(M40&lt;=1,1,0)</f>
        <v>1</v>
      </c>
      <c r="P40" s="52"/>
      <c r="Q40" s="63"/>
      <c r="R40" s="58">
        <f t="shared" si="75"/>
        <v>0</v>
      </c>
      <c r="S40" s="41" t="s">
        <v>33</v>
      </c>
      <c r="T40" s="51">
        <f t="shared" si="54"/>
        <v>1</v>
      </c>
      <c r="U40" s="62"/>
      <c r="V40" s="79">
        <v>2087.9</v>
      </c>
      <c r="W40" s="63">
        <v>52.1</v>
      </c>
      <c r="X40" s="59">
        <f t="shared" si="76"/>
        <v>0</v>
      </c>
      <c r="Y40" s="60" t="s">
        <v>31</v>
      </c>
      <c r="Z40" s="61">
        <f t="shared" si="55"/>
        <v>1</v>
      </c>
      <c r="AA40" s="63"/>
      <c r="AB40" s="63">
        <v>19.4</v>
      </c>
      <c r="AC40" s="63"/>
      <c r="AD40" s="58">
        <f t="shared" si="77"/>
        <v>0</v>
      </c>
      <c r="AE40" s="41" t="s">
        <v>33</v>
      </c>
      <c r="AF40" s="51">
        <f t="shared" si="78"/>
        <v>1</v>
      </c>
      <c r="AG40" s="18">
        <v>687.3</v>
      </c>
      <c r="AH40" s="18">
        <v>837</v>
      </c>
      <c r="AI40" s="59">
        <f t="shared" si="79"/>
        <v>0.8211469534050179</v>
      </c>
      <c r="AJ40" s="41" t="s">
        <v>33</v>
      </c>
      <c r="AK40" s="51">
        <f t="shared" si="56"/>
        <v>1</v>
      </c>
      <c r="AL40" s="63">
        <v>446.1</v>
      </c>
      <c r="AM40" s="63">
        <v>461.6</v>
      </c>
      <c r="AN40" s="67">
        <f t="shared" si="57"/>
        <v>0.966421143847487</v>
      </c>
      <c r="AO40" s="41" t="s">
        <v>33</v>
      </c>
      <c r="AP40" s="51">
        <f t="shared" si="58"/>
        <v>1</v>
      </c>
      <c r="AQ40" s="64">
        <v>9</v>
      </c>
      <c r="AR40" s="41" t="s">
        <v>45</v>
      </c>
      <c r="AS40" s="51">
        <f t="shared" si="59"/>
        <v>0</v>
      </c>
      <c r="AT40" s="18"/>
      <c r="AU40" s="18"/>
      <c r="AV40" s="18"/>
      <c r="AW40" s="18"/>
      <c r="AX40" s="60">
        <f t="shared" si="60"/>
        <v>0</v>
      </c>
      <c r="AY40" s="41">
        <v>0</v>
      </c>
      <c r="AZ40" s="51">
        <f t="shared" si="80"/>
        <v>0</v>
      </c>
      <c r="BA40" s="18"/>
      <c r="BB40" s="18"/>
      <c r="BC40" s="69">
        <f t="shared" si="91"/>
        <v>0</v>
      </c>
      <c r="BD40" s="41" t="s">
        <v>50</v>
      </c>
      <c r="BE40" s="51">
        <f t="shared" si="81"/>
        <v>1</v>
      </c>
      <c r="BF40" s="18"/>
      <c r="BG40" s="63">
        <f>V40-W40</f>
        <v>2035.8000000000002</v>
      </c>
      <c r="BH40" s="59">
        <f t="shared" si="61"/>
        <v>0</v>
      </c>
      <c r="BI40" s="61">
        <f t="shared" si="82"/>
        <v>-1</v>
      </c>
      <c r="BJ40" s="18">
        <v>0</v>
      </c>
      <c r="BK40" s="18">
        <v>1</v>
      </c>
      <c r="BL40" s="58">
        <f t="shared" si="62"/>
        <v>0</v>
      </c>
      <c r="BM40" s="51">
        <f t="shared" si="83"/>
        <v>-1</v>
      </c>
      <c r="BN40" s="18">
        <v>358.6</v>
      </c>
      <c r="BO40" s="18">
        <v>315.4</v>
      </c>
      <c r="BP40" s="59">
        <f t="shared" si="50"/>
        <v>1.1369689283449589</v>
      </c>
      <c r="BQ40" s="51">
        <f t="shared" si="63"/>
        <v>0.5</v>
      </c>
      <c r="BR40" s="97">
        <v>382.2</v>
      </c>
      <c r="BS40" s="100">
        <v>358.6</v>
      </c>
      <c r="BT40" s="99">
        <f t="shared" si="92"/>
        <v>1.0658114891243724</v>
      </c>
      <c r="BU40" s="51">
        <f t="shared" si="64"/>
        <v>0</v>
      </c>
      <c r="BV40" s="18">
        <v>358.6</v>
      </c>
      <c r="BW40" s="18">
        <v>360.2</v>
      </c>
      <c r="BX40" s="18">
        <v>277.9</v>
      </c>
      <c r="BY40" s="18">
        <v>447.8</v>
      </c>
      <c r="BZ40" s="59">
        <f aca="true" t="shared" si="95" ref="BZ40:BZ46">(BV40/BW40)/(BX40/BY40)</f>
        <v>1.604213324371591</v>
      </c>
      <c r="CA40" s="51">
        <f t="shared" si="65"/>
        <v>1</v>
      </c>
      <c r="CB40" s="18">
        <f>814.1-CC40-CD40-CE40</f>
        <v>242.5</v>
      </c>
      <c r="CC40" s="18">
        <v>104.5</v>
      </c>
      <c r="CD40" s="18">
        <f>338.2-CC40</f>
        <v>233.7</v>
      </c>
      <c r="CE40" s="18">
        <f>571.6-CC40-CD40</f>
        <v>233.40000000000003</v>
      </c>
      <c r="CF40" s="71">
        <f t="shared" si="84"/>
        <v>1.272743177046886</v>
      </c>
      <c r="CG40" s="51">
        <f t="shared" si="85"/>
        <v>1</v>
      </c>
      <c r="CH40" s="18">
        <v>0</v>
      </c>
      <c r="CI40" s="51">
        <f t="shared" si="66"/>
        <v>0</v>
      </c>
      <c r="CJ40" s="18"/>
      <c r="CK40" s="111">
        <v>2087.9</v>
      </c>
      <c r="CL40" s="18"/>
      <c r="CM40" s="18">
        <v>1108</v>
      </c>
      <c r="CN40" s="115">
        <f t="shared" si="93"/>
        <v>0</v>
      </c>
      <c r="CO40" s="61">
        <f t="shared" si="67"/>
        <v>1</v>
      </c>
      <c r="CP40" s="52">
        <v>0</v>
      </c>
      <c r="CQ40" s="97">
        <v>382.2</v>
      </c>
      <c r="CR40" s="63">
        <v>0</v>
      </c>
      <c r="CS40" s="63">
        <v>274.2</v>
      </c>
      <c r="CT40" s="58">
        <f t="shared" si="86"/>
        <v>0</v>
      </c>
      <c r="CU40" s="51">
        <f t="shared" si="94"/>
        <v>1</v>
      </c>
      <c r="CV40" s="64"/>
      <c r="CW40" s="51">
        <f t="shared" si="68"/>
        <v>0</v>
      </c>
      <c r="CX40" s="18">
        <v>0</v>
      </c>
      <c r="CY40" s="18">
        <v>1</v>
      </c>
      <c r="CZ40" s="18">
        <v>0</v>
      </c>
      <c r="DA40" s="18">
        <v>1</v>
      </c>
      <c r="DB40" s="18">
        <v>0</v>
      </c>
      <c r="DC40" s="41">
        <f>CX40+CY40+CZ40+DA40+DB40</f>
        <v>2</v>
      </c>
      <c r="DD40" s="51">
        <f t="shared" si="87"/>
        <v>0</v>
      </c>
      <c r="DE40" s="29"/>
      <c r="DF40" s="51">
        <f t="shared" si="69"/>
        <v>0</v>
      </c>
      <c r="DG40" s="18"/>
      <c r="DH40" s="51">
        <f t="shared" si="88"/>
        <v>0</v>
      </c>
      <c r="DI40" s="18"/>
      <c r="DJ40" s="51">
        <f t="shared" si="70"/>
        <v>0</v>
      </c>
      <c r="DK40" s="18"/>
      <c r="DL40" s="51">
        <f t="shared" si="71"/>
        <v>0</v>
      </c>
      <c r="DM40" s="18"/>
      <c r="DN40" s="51">
        <f t="shared" si="89"/>
        <v>0</v>
      </c>
      <c r="DO40" s="18"/>
      <c r="DP40" s="51">
        <f aca="true" t="shared" si="96" ref="DP40:DP46">IF(ISBLANK(DO40),0,0.5)</f>
        <v>0</v>
      </c>
      <c r="DQ40" s="18"/>
      <c r="DR40" s="51">
        <f t="shared" si="72"/>
        <v>0</v>
      </c>
      <c r="DS40" s="18"/>
      <c r="DT40" s="51">
        <f aca="true" t="shared" si="97" ref="DT40:DT46">IF(ISBLANK(DS40),0,0.5)</f>
        <v>0</v>
      </c>
      <c r="DU40" s="18"/>
      <c r="DV40" s="51">
        <f t="shared" si="73"/>
        <v>0</v>
      </c>
      <c r="DW40" s="102">
        <f t="shared" si="90"/>
        <v>9.5</v>
      </c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6"/>
      <c r="EM40" s="6"/>
      <c r="EN40" s="6"/>
      <c r="EO40" s="6"/>
      <c r="EP40" s="6"/>
      <c r="EQ40" s="6"/>
      <c r="ER40" s="6"/>
      <c r="ES40" s="6"/>
      <c r="ET40" s="6"/>
    </row>
    <row r="41" spans="1:145" ht="15">
      <c r="A41" s="81" t="s">
        <v>78</v>
      </c>
      <c r="B41" s="14">
        <v>26</v>
      </c>
      <c r="C41" s="27">
        <v>1331.5</v>
      </c>
      <c r="D41" s="31">
        <v>728.5</v>
      </c>
      <c r="E41" s="28"/>
      <c r="F41" s="55">
        <f t="shared" si="52"/>
        <v>0.04311774461028192</v>
      </c>
      <c r="G41" s="41" t="s">
        <v>30</v>
      </c>
      <c r="H41" s="74">
        <f t="shared" si="53"/>
        <v>1</v>
      </c>
      <c r="I41" s="31"/>
      <c r="J41" s="15">
        <v>1292.8</v>
      </c>
      <c r="K41" s="75">
        <v>727.4</v>
      </c>
      <c r="L41" s="29"/>
      <c r="M41" s="56">
        <f t="shared" si="74"/>
        <v>0</v>
      </c>
      <c r="N41" s="41" t="s">
        <v>32</v>
      </c>
      <c r="O41" s="51">
        <f>IF(M41&lt;=0.5,1,0)</f>
        <v>1</v>
      </c>
      <c r="P41" s="14"/>
      <c r="Q41" s="31"/>
      <c r="R41" s="58">
        <f t="shared" si="75"/>
        <v>0</v>
      </c>
      <c r="S41" s="41" t="s">
        <v>33</v>
      </c>
      <c r="T41" s="51">
        <f t="shared" si="54"/>
        <v>1</v>
      </c>
      <c r="U41" s="16"/>
      <c r="V41" s="78">
        <v>1357.6</v>
      </c>
      <c r="W41" s="31">
        <v>116.2</v>
      </c>
      <c r="X41" s="58">
        <f t="shared" si="76"/>
        <v>0</v>
      </c>
      <c r="Y41" s="41" t="s">
        <v>31</v>
      </c>
      <c r="Z41" s="51">
        <f t="shared" si="55"/>
        <v>1</v>
      </c>
      <c r="AA41" s="80"/>
      <c r="AB41" s="31">
        <v>26</v>
      </c>
      <c r="AC41" s="31"/>
      <c r="AD41" s="58">
        <f t="shared" si="77"/>
        <v>0</v>
      </c>
      <c r="AE41" s="41" t="s">
        <v>33</v>
      </c>
      <c r="AF41" s="51">
        <f t="shared" si="78"/>
        <v>1</v>
      </c>
      <c r="AG41" s="17">
        <v>934.8</v>
      </c>
      <c r="AH41" s="17">
        <v>957</v>
      </c>
      <c r="AI41" s="58">
        <f t="shared" si="79"/>
        <v>0.9768025078369905</v>
      </c>
      <c r="AJ41" s="41" t="s">
        <v>33</v>
      </c>
      <c r="AK41" s="51">
        <f t="shared" si="56"/>
        <v>1</v>
      </c>
      <c r="AL41" s="31">
        <v>543.9</v>
      </c>
      <c r="AM41" s="31">
        <v>561.7</v>
      </c>
      <c r="AN41" s="66">
        <f t="shared" si="57"/>
        <v>0.9683104860245682</v>
      </c>
      <c r="AO41" s="41" t="s">
        <v>33</v>
      </c>
      <c r="AP41" s="51">
        <f t="shared" si="58"/>
        <v>1</v>
      </c>
      <c r="AQ41" s="47">
        <v>7</v>
      </c>
      <c r="AR41" s="41" t="s">
        <v>45</v>
      </c>
      <c r="AS41" s="51">
        <f t="shared" si="59"/>
        <v>0</v>
      </c>
      <c r="AT41" s="17"/>
      <c r="AU41" s="29"/>
      <c r="AV41" s="17"/>
      <c r="AW41" s="17"/>
      <c r="AX41" s="68">
        <f t="shared" si="60"/>
        <v>0</v>
      </c>
      <c r="AY41" s="41">
        <v>0</v>
      </c>
      <c r="AZ41" s="51">
        <f t="shared" si="80"/>
        <v>0</v>
      </c>
      <c r="BA41" s="17"/>
      <c r="BB41" s="17"/>
      <c r="BC41" s="69">
        <f t="shared" si="91"/>
        <v>0</v>
      </c>
      <c r="BD41" s="41" t="s">
        <v>50</v>
      </c>
      <c r="BE41" s="51">
        <f t="shared" si="81"/>
        <v>1</v>
      </c>
      <c r="BF41" s="18"/>
      <c r="BG41" s="63">
        <f aca="true" t="shared" si="98" ref="BG41:BG46">V41-W41</f>
        <v>1241.3999999999999</v>
      </c>
      <c r="BH41" s="59">
        <f t="shared" si="61"/>
        <v>0</v>
      </c>
      <c r="BI41" s="51">
        <f t="shared" si="82"/>
        <v>-1</v>
      </c>
      <c r="BJ41" s="17">
        <v>0</v>
      </c>
      <c r="BK41" s="17">
        <v>1</v>
      </c>
      <c r="BL41" s="58">
        <f t="shared" si="62"/>
        <v>0</v>
      </c>
      <c r="BM41" s="51">
        <f t="shared" si="83"/>
        <v>-1</v>
      </c>
      <c r="BN41" s="17">
        <v>565.4</v>
      </c>
      <c r="BO41" s="17">
        <v>518.9</v>
      </c>
      <c r="BP41" s="58">
        <f t="shared" si="50"/>
        <v>1.0896126421275776</v>
      </c>
      <c r="BQ41" s="51">
        <f>IF(AND(BP41&gt;=0.95,BP41&lt;=1.05),1,IF(OR(AND(BP41&gt;=0.85,BP41&lt;0.95),AND(BP41&gt;1.05,BP41&lt;=1.15)),0.5,0))</f>
        <v>0.5</v>
      </c>
      <c r="BR41" s="96">
        <v>603</v>
      </c>
      <c r="BS41" s="100">
        <v>565.4</v>
      </c>
      <c r="BT41" s="98">
        <f t="shared" si="92"/>
        <v>1.0665015917934206</v>
      </c>
      <c r="BU41" s="51">
        <f t="shared" si="64"/>
        <v>0</v>
      </c>
      <c r="BV41" s="17">
        <v>565.4</v>
      </c>
      <c r="BW41" s="18">
        <v>580.2</v>
      </c>
      <c r="BX41" s="17">
        <v>444.4</v>
      </c>
      <c r="BY41" s="17">
        <v>678.6</v>
      </c>
      <c r="BZ41" s="58">
        <f t="shared" si="95"/>
        <v>1.488051235320016</v>
      </c>
      <c r="CA41" s="51">
        <f t="shared" si="65"/>
        <v>1</v>
      </c>
      <c r="CB41" s="17">
        <f>1226-CC41-CD41-CE41</f>
        <v>307.79999999999984</v>
      </c>
      <c r="CC41" s="18">
        <v>181.9</v>
      </c>
      <c r="CD41" s="18">
        <f>522.3-CC41</f>
        <v>340.4</v>
      </c>
      <c r="CE41" s="18">
        <f>918.2-CC41-CD41</f>
        <v>395.9000000000001</v>
      </c>
      <c r="CF41" s="71">
        <f t="shared" si="84"/>
        <v>1.0056632541929857</v>
      </c>
      <c r="CG41" s="51">
        <f t="shared" si="85"/>
        <v>1</v>
      </c>
      <c r="CH41" s="17">
        <v>0</v>
      </c>
      <c r="CI41" s="51">
        <f t="shared" si="66"/>
        <v>0</v>
      </c>
      <c r="CJ41" s="17">
        <v>1.4</v>
      </c>
      <c r="CK41" s="111">
        <v>1357.6</v>
      </c>
      <c r="CL41" s="17"/>
      <c r="CM41" s="18">
        <v>1480.4</v>
      </c>
      <c r="CN41" s="115">
        <f t="shared" si="93"/>
        <v>0</v>
      </c>
      <c r="CO41" s="51">
        <f t="shared" si="67"/>
        <v>1</v>
      </c>
      <c r="CP41" s="14">
        <v>0</v>
      </c>
      <c r="CQ41" s="96">
        <v>603</v>
      </c>
      <c r="CR41" s="31">
        <v>0</v>
      </c>
      <c r="CS41" s="31">
        <v>478.3</v>
      </c>
      <c r="CT41" s="58">
        <f t="shared" si="86"/>
        <v>0</v>
      </c>
      <c r="CU41" s="51">
        <f t="shared" si="94"/>
        <v>1</v>
      </c>
      <c r="CV41" s="47"/>
      <c r="CW41" s="51">
        <f t="shared" si="68"/>
        <v>0</v>
      </c>
      <c r="CX41" s="17">
        <v>1</v>
      </c>
      <c r="CY41" s="17">
        <v>1</v>
      </c>
      <c r="CZ41" s="17">
        <v>1</v>
      </c>
      <c r="DA41" s="17">
        <v>1</v>
      </c>
      <c r="DB41" s="17">
        <v>1</v>
      </c>
      <c r="DC41" s="41">
        <f aca="true" t="shared" si="99" ref="DC41:DC46">CX41+CY41+CZ41+DA41+DB41</f>
        <v>5</v>
      </c>
      <c r="DD41" s="51">
        <f t="shared" si="87"/>
        <v>1</v>
      </c>
      <c r="DE41" s="29"/>
      <c r="DF41" s="51">
        <f t="shared" si="69"/>
        <v>0</v>
      </c>
      <c r="DG41" s="17"/>
      <c r="DH41" s="51">
        <f t="shared" si="88"/>
        <v>0</v>
      </c>
      <c r="DI41" s="72">
        <v>1</v>
      </c>
      <c r="DJ41" s="51">
        <f t="shared" si="70"/>
        <v>0.5</v>
      </c>
      <c r="DK41" s="72"/>
      <c r="DL41" s="51">
        <f t="shared" si="71"/>
        <v>0</v>
      </c>
      <c r="DM41" s="17">
        <v>1</v>
      </c>
      <c r="DN41" s="51">
        <f t="shared" si="89"/>
        <v>0.5</v>
      </c>
      <c r="DO41" s="17"/>
      <c r="DP41" s="51">
        <f t="shared" si="96"/>
        <v>0</v>
      </c>
      <c r="DQ41" s="17"/>
      <c r="DR41" s="51">
        <f t="shared" si="72"/>
        <v>0</v>
      </c>
      <c r="DS41" s="17">
        <v>1</v>
      </c>
      <c r="DT41" s="51">
        <f t="shared" si="97"/>
        <v>0.5</v>
      </c>
      <c r="DU41" s="17"/>
      <c r="DV41" s="51">
        <f t="shared" si="73"/>
        <v>0</v>
      </c>
      <c r="DW41" s="114">
        <f t="shared" si="90"/>
        <v>13</v>
      </c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</row>
    <row r="42" spans="1:145" ht="15">
      <c r="A42" s="81" t="s">
        <v>79</v>
      </c>
      <c r="B42" s="14">
        <v>22.1</v>
      </c>
      <c r="C42" s="27">
        <v>2351.2</v>
      </c>
      <c r="D42" s="31">
        <v>2012.6</v>
      </c>
      <c r="E42" s="28"/>
      <c r="F42" s="55">
        <f t="shared" si="52"/>
        <v>0.06526875369167161</v>
      </c>
      <c r="G42" s="41" t="s">
        <v>30</v>
      </c>
      <c r="H42" s="74">
        <f t="shared" si="53"/>
        <v>0</v>
      </c>
      <c r="I42" s="31"/>
      <c r="J42" s="15">
        <v>2343.9</v>
      </c>
      <c r="K42" s="75">
        <v>2012.6</v>
      </c>
      <c r="L42" s="29"/>
      <c r="M42" s="56">
        <f t="shared" si="74"/>
        <v>0</v>
      </c>
      <c r="N42" s="41" t="s">
        <v>32</v>
      </c>
      <c r="O42" s="51">
        <f>IF(M42&lt;=0.5,1,0)</f>
        <v>1</v>
      </c>
      <c r="P42" s="14"/>
      <c r="Q42" s="31"/>
      <c r="R42" s="58">
        <f t="shared" si="75"/>
        <v>0</v>
      </c>
      <c r="S42" s="41" t="s">
        <v>33</v>
      </c>
      <c r="T42" s="51">
        <f t="shared" si="54"/>
        <v>1</v>
      </c>
      <c r="U42" s="16"/>
      <c r="V42" s="78">
        <v>2373.4</v>
      </c>
      <c r="W42" s="31">
        <v>51</v>
      </c>
      <c r="X42" s="58">
        <f t="shared" si="76"/>
        <v>0</v>
      </c>
      <c r="Y42" s="41" t="s">
        <v>31</v>
      </c>
      <c r="Z42" s="51">
        <f t="shared" si="55"/>
        <v>1</v>
      </c>
      <c r="AA42" s="80"/>
      <c r="AB42" s="31">
        <v>22.1</v>
      </c>
      <c r="AC42" s="31"/>
      <c r="AD42" s="58">
        <f t="shared" si="77"/>
        <v>0</v>
      </c>
      <c r="AE42" s="41" t="s">
        <v>33</v>
      </c>
      <c r="AF42" s="51">
        <f t="shared" si="78"/>
        <v>1</v>
      </c>
      <c r="AG42" s="17">
        <v>661.3</v>
      </c>
      <c r="AH42" s="17">
        <v>835</v>
      </c>
      <c r="AI42" s="58">
        <f t="shared" si="79"/>
        <v>0.7919760479041915</v>
      </c>
      <c r="AJ42" s="41" t="s">
        <v>33</v>
      </c>
      <c r="AK42" s="51">
        <f t="shared" si="56"/>
        <v>1</v>
      </c>
      <c r="AL42" s="31">
        <v>392.4</v>
      </c>
      <c r="AM42" s="31">
        <v>396.7</v>
      </c>
      <c r="AN42" s="66">
        <f t="shared" si="57"/>
        <v>0.9891605747416183</v>
      </c>
      <c r="AO42" s="41" t="s">
        <v>33</v>
      </c>
      <c r="AP42" s="51">
        <f t="shared" si="58"/>
        <v>1</v>
      </c>
      <c r="AQ42" s="47">
        <v>10</v>
      </c>
      <c r="AR42" s="41" t="s">
        <v>45</v>
      </c>
      <c r="AS42" s="51">
        <f t="shared" si="59"/>
        <v>0</v>
      </c>
      <c r="AT42" s="17"/>
      <c r="AU42" s="29"/>
      <c r="AV42" s="17"/>
      <c r="AW42" s="17"/>
      <c r="AX42" s="68">
        <f t="shared" si="60"/>
        <v>0</v>
      </c>
      <c r="AY42" s="41">
        <v>0</v>
      </c>
      <c r="AZ42" s="51">
        <f t="shared" si="80"/>
        <v>0</v>
      </c>
      <c r="BA42" s="17"/>
      <c r="BB42" s="17"/>
      <c r="BC42" s="69">
        <f t="shared" si="91"/>
        <v>0</v>
      </c>
      <c r="BD42" s="41" t="s">
        <v>50</v>
      </c>
      <c r="BE42" s="51">
        <f t="shared" si="81"/>
        <v>1</v>
      </c>
      <c r="BF42" s="17"/>
      <c r="BG42" s="63">
        <f t="shared" si="98"/>
        <v>2322.4</v>
      </c>
      <c r="BH42" s="59">
        <f t="shared" si="61"/>
        <v>0</v>
      </c>
      <c r="BI42" s="51">
        <f t="shared" si="82"/>
        <v>-1</v>
      </c>
      <c r="BJ42" s="17">
        <v>0</v>
      </c>
      <c r="BK42" s="17">
        <v>1</v>
      </c>
      <c r="BL42" s="58">
        <f t="shared" si="62"/>
        <v>0</v>
      </c>
      <c r="BM42" s="51">
        <f t="shared" si="83"/>
        <v>-1</v>
      </c>
      <c r="BN42" s="17">
        <v>331.3</v>
      </c>
      <c r="BO42" s="17">
        <v>147.9</v>
      </c>
      <c r="BP42" s="58">
        <f t="shared" si="50"/>
        <v>2.240027045300879</v>
      </c>
      <c r="BQ42" s="51">
        <f t="shared" si="63"/>
        <v>0</v>
      </c>
      <c r="BR42" s="96">
        <v>338.6</v>
      </c>
      <c r="BS42" s="100">
        <v>331.3</v>
      </c>
      <c r="BT42" s="98">
        <f t="shared" si="92"/>
        <v>1.0220344099003924</v>
      </c>
      <c r="BU42" s="51">
        <f t="shared" si="64"/>
        <v>0</v>
      </c>
      <c r="BV42" s="17">
        <v>331.3</v>
      </c>
      <c r="BW42" s="18">
        <v>677</v>
      </c>
      <c r="BX42" s="17">
        <v>151</v>
      </c>
      <c r="BY42" s="17">
        <v>496.3</v>
      </c>
      <c r="BZ42" s="58">
        <f t="shared" si="95"/>
        <v>1.6084223346082738</v>
      </c>
      <c r="CA42" s="51">
        <f t="shared" si="65"/>
        <v>1</v>
      </c>
      <c r="CB42" s="17">
        <f>1199.9-CC42-CD42-CE42</f>
        <v>318.9000000000002</v>
      </c>
      <c r="CC42" s="18">
        <v>174.1</v>
      </c>
      <c r="CD42" s="18">
        <f>478.8-CC42</f>
        <v>304.70000000000005</v>
      </c>
      <c r="CE42" s="18">
        <f>881-CC42-CD42</f>
        <v>402.19999999999993</v>
      </c>
      <c r="CF42" s="71">
        <f t="shared" si="84"/>
        <v>1.0859250851305342</v>
      </c>
      <c r="CG42" s="51">
        <f t="shared" si="85"/>
        <v>1</v>
      </c>
      <c r="CH42" s="17">
        <v>0</v>
      </c>
      <c r="CI42" s="51">
        <f t="shared" si="66"/>
        <v>0</v>
      </c>
      <c r="CJ42" s="17"/>
      <c r="CK42" s="111">
        <v>2373.4</v>
      </c>
      <c r="CL42" s="17"/>
      <c r="CM42" s="18">
        <v>2411.4</v>
      </c>
      <c r="CN42" s="115">
        <f t="shared" si="93"/>
        <v>0</v>
      </c>
      <c r="CO42" s="51">
        <f t="shared" si="67"/>
        <v>1</v>
      </c>
      <c r="CP42" s="14">
        <v>0</v>
      </c>
      <c r="CQ42" s="96">
        <v>338.6</v>
      </c>
      <c r="CR42" s="31">
        <v>0</v>
      </c>
      <c r="CS42" s="31">
        <v>158.7</v>
      </c>
      <c r="CT42" s="58">
        <f t="shared" si="86"/>
        <v>0</v>
      </c>
      <c r="CU42" s="51">
        <f t="shared" si="94"/>
        <v>1</v>
      </c>
      <c r="CV42" s="47"/>
      <c r="CW42" s="51">
        <f t="shared" si="68"/>
        <v>0</v>
      </c>
      <c r="CX42" s="17">
        <v>1</v>
      </c>
      <c r="CY42" s="17">
        <v>1</v>
      </c>
      <c r="CZ42" s="17">
        <v>1</v>
      </c>
      <c r="DA42" s="17">
        <v>1</v>
      </c>
      <c r="DB42" s="17">
        <v>0</v>
      </c>
      <c r="DC42" s="41">
        <f t="shared" si="99"/>
        <v>4</v>
      </c>
      <c r="DD42" s="51">
        <f t="shared" si="87"/>
        <v>1</v>
      </c>
      <c r="DE42" s="29"/>
      <c r="DF42" s="51">
        <f t="shared" si="69"/>
        <v>0</v>
      </c>
      <c r="DG42" s="17"/>
      <c r="DH42" s="51">
        <f t="shared" si="88"/>
        <v>0</v>
      </c>
      <c r="DI42" s="17"/>
      <c r="DJ42" s="51">
        <f t="shared" si="70"/>
        <v>0</v>
      </c>
      <c r="DK42" s="17"/>
      <c r="DL42" s="51">
        <f t="shared" si="71"/>
        <v>0</v>
      </c>
      <c r="DM42" s="17">
        <v>1</v>
      </c>
      <c r="DN42" s="51">
        <f t="shared" si="89"/>
        <v>0.5</v>
      </c>
      <c r="DO42" s="17"/>
      <c r="DP42" s="51">
        <f t="shared" si="96"/>
        <v>0</v>
      </c>
      <c r="DQ42" s="17"/>
      <c r="DR42" s="51">
        <f t="shared" si="72"/>
        <v>0</v>
      </c>
      <c r="DS42" s="17">
        <v>1</v>
      </c>
      <c r="DT42" s="51">
        <f t="shared" si="97"/>
        <v>0.5</v>
      </c>
      <c r="DU42" s="17"/>
      <c r="DV42" s="51">
        <f t="shared" si="73"/>
        <v>0</v>
      </c>
      <c r="DW42" s="102">
        <f t="shared" si="90"/>
        <v>11</v>
      </c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</row>
    <row r="43" spans="1:145" ht="15">
      <c r="A43" s="81" t="s">
        <v>80</v>
      </c>
      <c r="B43" s="14"/>
      <c r="C43" s="27">
        <v>1201.1</v>
      </c>
      <c r="D43" s="31">
        <v>616.1</v>
      </c>
      <c r="E43" s="28"/>
      <c r="F43" s="55">
        <f t="shared" si="52"/>
        <v>0</v>
      </c>
      <c r="G43" s="41" t="s">
        <v>30</v>
      </c>
      <c r="H43" s="74">
        <f t="shared" si="53"/>
        <v>1</v>
      </c>
      <c r="I43" s="31"/>
      <c r="J43" s="15">
        <v>1110.9</v>
      </c>
      <c r="K43" s="75">
        <v>608.1</v>
      </c>
      <c r="L43" s="29"/>
      <c r="M43" s="56">
        <f t="shared" si="74"/>
        <v>0</v>
      </c>
      <c r="N43" s="41" t="s">
        <v>32</v>
      </c>
      <c r="O43" s="51">
        <f>IF(M43&lt;=1,1,0)</f>
        <v>1</v>
      </c>
      <c r="P43" s="14"/>
      <c r="Q43" s="31"/>
      <c r="R43" s="58">
        <f t="shared" si="75"/>
        <v>0</v>
      </c>
      <c r="S43" s="41" t="s">
        <v>33</v>
      </c>
      <c r="T43" s="51">
        <f t="shared" si="54"/>
        <v>1</v>
      </c>
      <c r="U43" s="16"/>
      <c r="V43" s="78">
        <v>1116.1</v>
      </c>
      <c r="W43" s="31">
        <v>55.2</v>
      </c>
      <c r="X43" s="58">
        <f t="shared" si="76"/>
        <v>0</v>
      </c>
      <c r="Y43" s="41" t="s">
        <v>31</v>
      </c>
      <c r="Z43" s="51">
        <f t="shared" si="55"/>
        <v>1</v>
      </c>
      <c r="AA43" s="31"/>
      <c r="AB43" s="31"/>
      <c r="AC43" s="31"/>
      <c r="AD43" s="58">
        <f>IF(AB43+AC43&gt;0,AA43/(AB43+AC43),0)</f>
        <v>0</v>
      </c>
      <c r="AE43" s="41" t="s">
        <v>33</v>
      </c>
      <c r="AF43" s="51">
        <f t="shared" si="78"/>
        <v>1</v>
      </c>
      <c r="AG43" s="17">
        <v>708.2</v>
      </c>
      <c r="AH43" s="17">
        <v>837</v>
      </c>
      <c r="AI43" s="58">
        <f t="shared" si="79"/>
        <v>0.8461170848267623</v>
      </c>
      <c r="AJ43" s="41" t="s">
        <v>33</v>
      </c>
      <c r="AK43" s="51">
        <f t="shared" si="56"/>
        <v>1</v>
      </c>
      <c r="AL43" s="31">
        <v>453.5</v>
      </c>
      <c r="AM43" s="31">
        <v>460.3</v>
      </c>
      <c r="AN43" s="66">
        <f t="shared" si="57"/>
        <v>0.9852270258527047</v>
      </c>
      <c r="AO43" s="41" t="s">
        <v>33</v>
      </c>
      <c r="AP43" s="51">
        <f t="shared" si="58"/>
        <v>1</v>
      </c>
      <c r="AQ43" s="47">
        <v>9</v>
      </c>
      <c r="AR43" s="41" t="s">
        <v>45</v>
      </c>
      <c r="AS43" s="51">
        <f t="shared" si="59"/>
        <v>0</v>
      </c>
      <c r="AT43" s="17"/>
      <c r="AU43" s="29"/>
      <c r="AV43" s="17"/>
      <c r="AW43" s="17"/>
      <c r="AX43" s="68">
        <f t="shared" si="60"/>
        <v>0</v>
      </c>
      <c r="AY43" s="41">
        <v>0</v>
      </c>
      <c r="AZ43" s="51">
        <f t="shared" si="80"/>
        <v>0</v>
      </c>
      <c r="BA43" s="17"/>
      <c r="BB43" s="17"/>
      <c r="BC43" s="69">
        <f t="shared" si="91"/>
        <v>0</v>
      </c>
      <c r="BD43" s="41" t="s">
        <v>50</v>
      </c>
      <c r="BE43" s="51">
        <f t="shared" si="81"/>
        <v>1</v>
      </c>
      <c r="BF43" s="17"/>
      <c r="BG43" s="63">
        <f t="shared" si="98"/>
        <v>1060.8999999999999</v>
      </c>
      <c r="BH43" s="59">
        <f t="shared" si="61"/>
        <v>0</v>
      </c>
      <c r="BI43" s="51">
        <f t="shared" si="82"/>
        <v>-1</v>
      </c>
      <c r="BJ43" s="17">
        <v>0</v>
      </c>
      <c r="BK43" s="17">
        <v>1</v>
      </c>
      <c r="BL43" s="58">
        <f t="shared" si="62"/>
        <v>0</v>
      </c>
      <c r="BM43" s="51">
        <f t="shared" si="83"/>
        <v>-1</v>
      </c>
      <c r="BN43" s="17">
        <v>502.8</v>
      </c>
      <c r="BO43" s="17">
        <v>216.6</v>
      </c>
      <c r="BP43" s="58">
        <f t="shared" si="50"/>
        <v>2.3213296398891967</v>
      </c>
      <c r="BQ43" s="51">
        <f t="shared" si="63"/>
        <v>0</v>
      </c>
      <c r="BR43" s="96">
        <v>585</v>
      </c>
      <c r="BS43" s="100">
        <v>502.8</v>
      </c>
      <c r="BT43" s="98">
        <f t="shared" si="92"/>
        <v>1.1634844868735084</v>
      </c>
      <c r="BU43" s="51">
        <f t="shared" si="64"/>
        <v>0</v>
      </c>
      <c r="BV43" s="17">
        <v>502.8</v>
      </c>
      <c r="BW43" s="18">
        <v>499.8</v>
      </c>
      <c r="BX43" s="17">
        <v>274.4</v>
      </c>
      <c r="BY43" s="17">
        <v>441.7</v>
      </c>
      <c r="BZ43" s="58">
        <f t="shared" si="95"/>
        <v>1.619355905627557</v>
      </c>
      <c r="CA43" s="51">
        <f t="shared" si="65"/>
        <v>1</v>
      </c>
      <c r="CB43" s="17">
        <f>1038-CC43-CD43-CE43</f>
        <v>362.5</v>
      </c>
      <c r="CC43" s="18">
        <v>142.1</v>
      </c>
      <c r="CD43" s="18">
        <f>436.9-CC43</f>
        <v>294.79999999999995</v>
      </c>
      <c r="CE43" s="18">
        <f>675.5-CC43-CD43</f>
        <v>238.60000000000002</v>
      </c>
      <c r="CF43" s="71">
        <f t="shared" si="84"/>
        <v>1.609918578830496</v>
      </c>
      <c r="CG43" s="51">
        <f t="shared" si="85"/>
        <v>0</v>
      </c>
      <c r="CH43" s="17">
        <v>0</v>
      </c>
      <c r="CI43" s="51">
        <f t="shared" si="66"/>
        <v>0</v>
      </c>
      <c r="CJ43" s="17"/>
      <c r="CK43" s="111">
        <v>1116.1</v>
      </c>
      <c r="CL43" s="17"/>
      <c r="CM43" s="18">
        <v>901.6</v>
      </c>
      <c r="CN43" s="115">
        <f t="shared" si="93"/>
        <v>0</v>
      </c>
      <c r="CO43" s="51">
        <f t="shared" si="67"/>
        <v>1</v>
      </c>
      <c r="CP43" s="14">
        <v>0</v>
      </c>
      <c r="CQ43" s="96">
        <v>585</v>
      </c>
      <c r="CR43" s="31">
        <v>0</v>
      </c>
      <c r="CS43" s="31">
        <v>297.7</v>
      </c>
      <c r="CT43" s="58">
        <f t="shared" si="86"/>
        <v>0</v>
      </c>
      <c r="CU43" s="51">
        <f t="shared" si="94"/>
        <v>1</v>
      </c>
      <c r="CV43" s="47"/>
      <c r="CW43" s="51">
        <f t="shared" si="68"/>
        <v>0</v>
      </c>
      <c r="CX43" s="17">
        <v>1</v>
      </c>
      <c r="CY43" s="17">
        <v>1</v>
      </c>
      <c r="CZ43" s="17">
        <v>1</v>
      </c>
      <c r="DA43" s="17">
        <v>1</v>
      </c>
      <c r="DB43" s="17">
        <v>1</v>
      </c>
      <c r="DC43" s="41">
        <f t="shared" si="99"/>
        <v>5</v>
      </c>
      <c r="DD43" s="51">
        <f t="shared" si="87"/>
        <v>1</v>
      </c>
      <c r="DE43" s="29"/>
      <c r="DF43" s="51">
        <f t="shared" si="69"/>
        <v>0</v>
      </c>
      <c r="DG43" s="17"/>
      <c r="DH43" s="51">
        <f t="shared" si="88"/>
        <v>0</v>
      </c>
      <c r="DI43" s="17"/>
      <c r="DJ43" s="51">
        <f t="shared" si="70"/>
        <v>0</v>
      </c>
      <c r="DK43" s="17"/>
      <c r="DL43" s="51">
        <f t="shared" si="71"/>
        <v>0</v>
      </c>
      <c r="DM43" s="17">
        <v>1</v>
      </c>
      <c r="DN43" s="51">
        <f t="shared" si="89"/>
        <v>0.5</v>
      </c>
      <c r="DO43" s="17"/>
      <c r="DP43" s="51">
        <f t="shared" si="96"/>
        <v>0</v>
      </c>
      <c r="DQ43" s="17"/>
      <c r="DR43" s="51">
        <f t="shared" si="72"/>
        <v>0</v>
      </c>
      <c r="DS43" s="17">
        <v>1</v>
      </c>
      <c r="DT43" s="51">
        <f t="shared" si="97"/>
        <v>0.5</v>
      </c>
      <c r="DU43" s="17"/>
      <c r="DV43" s="51">
        <f t="shared" si="73"/>
        <v>0</v>
      </c>
      <c r="DW43" s="102">
        <f t="shared" si="90"/>
        <v>11</v>
      </c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</row>
    <row r="44" spans="1:145" ht="15">
      <c r="A44" s="81" t="s">
        <v>81</v>
      </c>
      <c r="B44" s="14"/>
      <c r="C44" s="27">
        <v>1356.7</v>
      </c>
      <c r="D44" s="31">
        <v>822.2</v>
      </c>
      <c r="E44" s="28"/>
      <c r="F44" s="55">
        <f t="shared" si="52"/>
        <v>0</v>
      </c>
      <c r="G44" s="41" t="s">
        <v>30</v>
      </c>
      <c r="H44" s="74">
        <f t="shared" si="53"/>
        <v>1</v>
      </c>
      <c r="I44" s="31"/>
      <c r="J44" s="15">
        <v>1235.1</v>
      </c>
      <c r="K44" s="75">
        <v>822.2</v>
      </c>
      <c r="L44" s="29"/>
      <c r="M44" s="56">
        <f t="shared" si="74"/>
        <v>0</v>
      </c>
      <c r="N44" s="41" t="s">
        <v>32</v>
      </c>
      <c r="O44" s="51">
        <f>IF(M44&lt;=1,1,0)</f>
        <v>1</v>
      </c>
      <c r="P44" s="14"/>
      <c r="Q44" s="31"/>
      <c r="R44" s="58">
        <f t="shared" si="75"/>
        <v>0</v>
      </c>
      <c r="S44" s="41" t="s">
        <v>33</v>
      </c>
      <c r="T44" s="51">
        <f t="shared" si="54"/>
        <v>1</v>
      </c>
      <c r="U44" s="16"/>
      <c r="V44" s="78">
        <v>1283.3</v>
      </c>
      <c r="W44" s="31">
        <v>47.6</v>
      </c>
      <c r="X44" s="58">
        <f t="shared" si="76"/>
        <v>0</v>
      </c>
      <c r="Y44" s="41" t="s">
        <v>31</v>
      </c>
      <c r="Z44" s="51">
        <f t="shared" si="55"/>
        <v>1</v>
      </c>
      <c r="AA44" s="31"/>
      <c r="AB44" s="31"/>
      <c r="AC44" s="31"/>
      <c r="AD44" s="58">
        <f>IF(AB44+AC44&gt;0,AA44/(AB44+AC44),0)</f>
        <v>0</v>
      </c>
      <c r="AE44" s="41" t="s">
        <v>33</v>
      </c>
      <c r="AF44" s="51">
        <f t="shared" si="78"/>
        <v>1</v>
      </c>
      <c r="AG44" s="17">
        <v>955.7</v>
      </c>
      <c r="AH44" s="17">
        <v>956</v>
      </c>
      <c r="AI44" s="58">
        <f t="shared" si="79"/>
        <v>0.9996861924686193</v>
      </c>
      <c r="AJ44" s="41" t="s">
        <v>33</v>
      </c>
      <c r="AK44" s="51">
        <f t="shared" si="56"/>
        <v>1</v>
      </c>
      <c r="AL44" s="31">
        <v>499.3</v>
      </c>
      <c r="AM44" s="31">
        <v>507.6</v>
      </c>
      <c r="AN44" s="66">
        <f t="shared" si="57"/>
        <v>0.9836485421591804</v>
      </c>
      <c r="AO44" s="41" t="s">
        <v>33</v>
      </c>
      <c r="AP44" s="51">
        <f t="shared" si="58"/>
        <v>1</v>
      </c>
      <c r="AQ44" s="47">
        <v>7</v>
      </c>
      <c r="AR44" s="41" t="s">
        <v>45</v>
      </c>
      <c r="AS44" s="51">
        <f t="shared" si="59"/>
        <v>0</v>
      </c>
      <c r="AT44" s="17"/>
      <c r="AU44" s="29"/>
      <c r="AV44" s="17"/>
      <c r="AW44" s="17"/>
      <c r="AX44" s="68">
        <f t="shared" si="60"/>
        <v>0</v>
      </c>
      <c r="AY44" s="41">
        <v>0</v>
      </c>
      <c r="AZ44" s="51">
        <f t="shared" si="80"/>
        <v>0</v>
      </c>
      <c r="BA44" s="17"/>
      <c r="BB44" s="17"/>
      <c r="BC44" s="69">
        <f t="shared" si="91"/>
        <v>0</v>
      </c>
      <c r="BD44" s="41" t="s">
        <v>50</v>
      </c>
      <c r="BE44" s="51">
        <f t="shared" si="81"/>
        <v>1</v>
      </c>
      <c r="BF44" s="17"/>
      <c r="BG44" s="63">
        <f t="shared" si="98"/>
        <v>1235.7</v>
      </c>
      <c r="BH44" s="59">
        <f t="shared" si="61"/>
        <v>0</v>
      </c>
      <c r="BI44" s="51">
        <f t="shared" si="82"/>
        <v>-1</v>
      </c>
      <c r="BJ44" s="17">
        <v>0</v>
      </c>
      <c r="BK44" s="17">
        <v>1</v>
      </c>
      <c r="BL44" s="58">
        <f t="shared" si="62"/>
        <v>0</v>
      </c>
      <c r="BM44" s="51">
        <f t="shared" si="83"/>
        <v>-1</v>
      </c>
      <c r="BN44" s="17">
        <v>412.9</v>
      </c>
      <c r="BO44" s="17">
        <v>292.8</v>
      </c>
      <c r="BP44" s="58">
        <f t="shared" si="50"/>
        <v>1.4101775956284153</v>
      </c>
      <c r="BQ44" s="51">
        <f t="shared" si="63"/>
        <v>0</v>
      </c>
      <c r="BR44" s="96">
        <v>534.4</v>
      </c>
      <c r="BS44" s="100">
        <v>412.9</v>
      </c>
      <c r="BT44" s="98">
        <f t="shared" si="92"/>
        <v>1.2942601114071204</v>
      </c>
      <c r="BU44" s="51">
        <f t="shared" si="64"/>
        <v>0</v>
      </c>
      <c r="BV44" s="17">
        <v>412.9</v>
      </c>
      <c r="BW44" s="18">
        <v>652.8</v>
      </c>
      <c r="BX44" s="17">
        <v>337.1</v>
      </c>
      <c r="BY44" s="17">
        <v>467.4</v>
      </c>
      <c r="BZ44" s="58">
        <f t="shared" si="95"/>
        <v>0.8769901037395083</v>
      </c>
      <c r="CA44" s="51">
        <f t="shared" si="65"/>
        <v>0</v>
      </c>
      <c r="CB44" s="17">
        <f>1215.9-CC44-CD44-CE44</f>
        <v>452.90000000000015</v>
      </c>
      <c r="CC44" s="18">
        <v>180.3</v>
      </c>
      <c r="CD44" s="18">
        <f>570.4-CC44</f>
        <v>390.09999999999997</v>
      </c>
      <c r="CE44" s="18">
        <f>763-CC44-CD44</f>
        <v>192.60000000000008</v>
      </c>
      <c r="CF44" s="71">
        <f t="shared" si="84"/>
        <v>1.7807339449541288</v>
      </c>
      <c r="CG44" s="51">
        <f t="shared" si="85"/>
        <v>0</v>
      </c>
      <c r="CH44" s="17">
        <v>0</v>
      </c>
      <c r="CI44" s="51">
        <f t="shared" si="66"/>
        <v>0</v>
      </c>
      <c r="CJ44" s="17"/>
      <c r="CK44" s="111">
        <v>1283.3</v>
      </c>
      <c r="CL44" s="17"/>
      <c r="CM44" s="18">
        <v>1072.3</v>
      </c>
      <c r="CN44" s="115">
        <f t="shared" si="93"/>
        <v>0</v>
      </c>
      <c r="CO44" s="51">
        <f t="shared" si="67"/>
        <v>1</v>
      </c>
      <c r="CP44" s="14">
        <v>0</v>
      </c>
      <c r="CQ44" s="96">
        <v>534.4</v>
      </c>
      <c r="CR44" s="31">
        <v>0</v>
      </c>
      <c r="CS44" s="31">
        <v>357.9</v>
      </c>
      <c r="CT44" s="58">
        <f t="shared" si="86"/>
        <v>0</v>
      </c>
      <c r="CU44" s="51">
        <f t="shared" si="94"/>
        <v>1</v>
      </c>
      <c r="CV44" s="47"/>
      <c r="CW44" s="51">
        <f t="shared" si="68"/>
        <v>0</v>
      </c>
      <c r="CX44" s="17">
        <v>1</v>
      </c>
      <c r="CY44" s="17">
        <v>1</v>
      </c>
      <c r="CZ44" s="17">
        <v>1</v>
      </c>
      <c r="DA44" s="17">
        <v>1</v>
      </c>
      <c r="DB44" s="17">
        <v>0</v>
      </c>
      <c r="DC44" s="41">
        <f t="shared" si="99"/>
        <v>4</v>
      </c>
      <c r="DD44" s="51">
        <f t="shared" si="87"/>
        <v>1</v>
      </c>
      <c r="DE44" s="29"/>
      <c r="DF44" s="51">
        <f t="shared" si="69"/>
        <v>0</v>
      </c>
      <c r="DG44" s="17"/>
      <c r="DH44" s="51">
        <f t="shared" si="88"/>
        <v>0</v>
      </c>
      <c r="DI44" s="17"/>
      <c r="DJ44" s="51">
        <f t="shared" si="70"/>
        <v>0</v>
      </c>
      <c r="DK44" s="17"/>
      <c r="DL44" s="51">
        <f t="shared" si="71"/>
        <v>0</v>
      </c>
      <c r="DM44" s="17">
        <v>1</v>
      </c>
      <c r="DN44" s="51">
        <f t="shared" si="89"/>
        <v>0.5</v>
      </c>
      <c r="DO44" s="17"/>
      <c r="DP44" s="51">
        <f t="shared" si="96"/>
        <v>0</v>
      </c>
      <c r="DQ44" s="17"/>
      <c r="DR44" s="51">
        <f t="shared" si="72"/>
        <v>0</v>
      </c>
      <c r="DS44" s="17">
        <v>1</v>
      </c>
      <c r="DT44" s="51">
        <f t="shared" si="97"/>
        <v>0.5</v>
      </c>
      <c r="DU44" s="17"/>
      <c r="DV44" s="51">
        <f>IF(ISBLANK(DU44),0,0.5)</f>
        <v>0</v>
      </c>
      <c r="DW44" s="102">
        <f t="shared" si="90"/>
        <v>10</v>
      </c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</row>
    <row r="45" spans="1:145" ht="15">
      <c r="A45" s="81" t="s">
        <v>76</v>
      </c>
      <c r="B45" s="14"/>
      <c r="C45" s="27">
        <v>970.1</v>
      </c>
      <c r="D45" s="31">
        <v>775.9</v>
      </c>
      <c r="E45" s="28"/>
      <c r="F45" s="55">
        <f t="shared" si="52"/>
        <v>0</v>
      </c>
      <c r="G45" s="41" t="s">
        <v>30</v>
      </c>
      <c r="H45" s="74">
        <f t="shared" si="53"/>
        <v>1</v>
      </c>
      <c r="I45" s="31"/>
      <c r="J45" s="15">
        <v>941.9</v>
      </c>
      <c r="K45" s="75">
        <v>765.6</v>
      </c>
      <c r="L45" s="29"/>
      <c r="M45" s="56">
        <f t="shared" si="74"/>
        <v>0</v>
      </c>
      <c r="N45" s="41" t="s">
        <v>32</v>
      </c>
      <c r="O45" s="51">
        <f>IF(M45&lt;=0.5,1,0)</f>
        <v>1</v>
      </c>
      <c r="P45" s="14"/>
      <c r="Q45" s="31"/>
      <c r="R45" s="58">
        <f t="shared" si="75"/>
        <v>0</v>
      </c>
      <c r="S45" s="41" t="s">
        <v>33</v>
      </c>
      <c r="T45" s="51">
        <f t="shared" si="54"/>
        <v>1</v>
      </c>
      <c r="U45" s="16"/>
      <c r="V45" s="78">
        <v>967.1</v>
      </c>
      <c r="W45" s="31">
        <v>55</v>
      </c>
      <c r="X45" s="58">
        <f t="shared" si="76"/>
        <v>0</v>
      </c>
      <c r="Y45" s="41" t="s">
        <v>31</v>
      </c>
      <c r="Z45" s="51">
        <f t="shared" si="55"/>
        <v>1</v>
      </c>
      <c r="AA45" s="31"/>
      <c r="AB45" s="31"/>
      <c r="AC45" s="31"/>
      <c r="AD45" s="58">
        <f>IF(AB45+AC45&gt;0,AA45/(AB45+AC45),0)</f>
        <v>0</v>
      </c>
      <c r="AE45" s="41" t="s">
        <v>33</v>
      </c>
      <c r="AF45" s="51">
        <f t="shared" si="78"/>
        <v>1</v>
      </c>
      <c r="AG45" s="17">
        <v>645</v>
      </c>
      <c r="AH45" s="17">
        <v>835</v>
      </c>
      <c r="AI45" s="58">
        <f t="shared" si="79"/>
        <v>0.7724550898203593</v>
      </c>
      <c r="AJ45" s="41" t="s">
        <v>33</v>
      </c>
      <c r="AK45" s="51">
        <f t="shared" si="56"/>
        <v>1</v>
      </c>
      <c r="AL45" s="31">
        <v>403.5</v>
      </c>
      <c r="AM45" s="31">
        <v>396.7</v>
      </c>
      <c r="AN45" s="66">
        <f t="shared" si="57"/>
        <v>1.0171414166876733</v>
      </c>
      <c r="AO45" s="41" t="s">
        <v>33</v>
      </c>
      <c r="AP45" s="51">
        <f t="shared" si="58"/>
        <v>0</v>
      </c>
      <c r="AQ45" s="47">
        <v>10</v>
      </c>
      <c r="AR45" s="41" t="s">
        <v>45</v>
      </c>
      <c r="AS45" s="51">
        <f t="shared" si="59"/>
        <v>0</v>
      </c>
      <c r="AT45" s="17"/>
      <c r="AU45" s="29"/>
      <c r="AV45" s="17"/>
      <c r="AW45" s="17"/>
      <c r="AX45" s="68">
        <f t="shared" si="60"/>
        <v>0</v>
      </c>
      <c r="AY45" s="41">
        <v>0</v>
      </c>
      <c r="AZ45" s="51">
        <f t="shared" si="80"/>
        <v>0</v>
      </c>
      <c r="BA45" s="17"/>
      <c r="BB45" s="17"/>
      <c r="BC45" s="69">
        <f t="shared" si="91"/>
        <v>0</v>
      </c>
      <c r="BD45" s="41" t="s">
        <v>50</v>
      </c>
      <c r="BE45" s="51">
        <f t="shared" si="81"/>
        <v>1</v>
      </c>
      <c r="BF45" s="17"/>
      <c r="BG45" s="63">
        <f t="shared" si="98"/>
        <v>912.1</v>
      </c>
      <c r="BH45" s="59">
        <f t="shared" si="61"/>
        <v>0</v>
      </c>
      <c r="BI45" s="51">
        <f t="shared" si="82"/>
        <v>-1</v>
      </c>
      <c r="BJ45" s="17">
        <v>0</v>
      </c>
      <c r="BK45" s="17">
        <v>1</v>
      </c>
      <c r="BL45" s="58">
        <f t="shared" si="62"/>
        <v>0</v>
      </c>
      <c r="BM45" s="51">
        <f t="shared" si="83"/>
        <v>-1</v>
      </c>
      <c r="BN45" s="17">
        <v>176.3</v>
      </c>
      <c r="BO45" s="17">
        <v>148.9</v>
      </c>
      <c r="BP45" s="58">
        <f t="shared" si="50"/>
        <v>1.1840161182001343</v>
      </c>
      <c r="BQ45" s="51">
        <f t="shared" si="63"/>
        <v>0</v>
      </c>
      <c r="BR45" s="96">
        <v>194.2</v>
      </c>
      <c r="BS45" s="100">
        <v>176.3</v>
      </c>
      <c r="BT45" s="98">
        <f t="shared" si="92"/>
        <v>1.1015314804310832</v>
      </c>
      <c r="BU45" s="51">
        <f t="shared" si="64"/>
        <v>0</v>
      </c>
      <c r="BV45" s="17">
        <v>176.3</v>
      </c>
      <c r="BW45" s="18">
        <v>654</v>
      </c>
      <c r="BX45" s="17">
        <v>188.5</v>
      </c>
      <c r="BY45" s="17">
        <v>529.1</v>
      </c>
      <c r="BZ45" s="58">
        <f t="shared" si="95"/>
        <v>0.7566603395549932</v>
      </c>
      <c r="CA45" s="51">
        <f t="shared" si="65"/>
        <v>0</v>
      </c>
      <c r="CB45" s="17">
        <f>900.3-CC45-CD45-CE45</f>
        <v>275.3</v>
      </c>
      <c r="CC45" s="18">
        <v>215.3</v>
      </c>
      <c r="CD45" s="18">
        <f>430-CC45</f>
        <v>214.7</v>
      </c>
      <c r="CE45" s="18">
        <f>625-CC45-CD45</f>
        <v>195</v>
      </c>
      <c r="CF45" s="71">
        <f t="shared" si="84"/>
        <v>1.32144</v>
      </c>
      <c r="CG45" s="51">
        <f t="shared" si="85"/>
        <v>0.5</v>
      </c>
      <c r="CH45" s="17">
        <v>0</v>
      </c>
      <c r="CI45" s="51">
        <f t="shared" si="66"/>
        <v>0</v>
      </c>
      <c r="CJ45" s="17"/>
      <c r="CK45" s="111">
        <v>967.1</v>
      </c>
      <c r="CL45" s="17"/>
      <c r="CM45" s="18">
        <v>1131.5</v>
      </c>
      <c r="CN45" s="115">
        <f t="shared" si="93"/>
        <v>0</v>
      </c>
      <c r="CO45" s="51">
        <f t="shared" si="67"/>
        <v>1</v>
      </c>
      <c r="CP45" s="14">
        <v>0</v>
      </c>
      <c r="CQ45" s="96">
        <v>194.2</v>
      </c>
      <c r="CR45" s="31">
        <v>0</v>
      </c>
      <c r="CS45" s="31">
        <v>194.3</v>
      </c>
      <c r="CT45" s="58">
        <f t="shared" si="86"/>
        <v>0</v>
      </c>
      <c r="CU45" s="51">
        <f t="shared" si="94"/>
        <v>1</v>
      </c>
      <c r="CV45" s="47"/>
      <c r="CW45" s="51">
        <f t="shared" si="68"/>
        <v>0</v>
      </c>
      <c r="CX45" s="17">
        <v>1</v>
      </c>
      <c r="CY45" s="17">
        <v>1</v>
      </c>
      <c r="CZ45" s="17">
        <v>1</v>
      </c>
      <c r="DA45" s="17">
        <v>1</v>
      </c>
      <c r="DB45" s="17">
        <v>0</v>
      </c>
      <c r="DC45" s="41">
        <f t="shared" si="99"/>
        <v>4</v>
      </c>
      <c r="DD45" s="51">
        <f t="shared" si="87"/>
        <v>1</v>
      </c>
      <c r="DE45" s="29"/>
      <c r="DF45" s="51">
        <f t="shared" si="69"/>
        <v>0</v>
      </c>
      <c r="DG45" s="17"/>
      <c r="DH45" s="51">
        <f t="shared" si="88"/>
        <v>0</v>
      </c>
      <c r="DI45" s="15"/>
      <c r="DJ45" s="85">
        <f t="shared" si="70"/>
        <v>0</v>
      </c>
      <c r="DK45" s="15"/>
      <c r="DL45" s="51">
        <f t="shared" si="71"/>
        <v>0</v>
      </c>
      <c r="DM45" s="17">
        <v>1</v>
      </c>
      <c r="DN45" s="51">
        <f t="shared" si="89"/>
        <v>0.5</v>
      </c>
      <c r="DO45" s="17"/>
      <c r="DP45" s="51">
        <f t="shared" si="96"/>
        <v>0</v>
      </c>
      <c r="DQ45" s="17"/>
      <c r="DR45" s="51">
        <f t="shared" si="72"/>
        <v>0</v>
      </c>
      <c r="DS45" s="17"/>
      <c r="DT45" s="51">
        <f t="shared" si="97"/>
        <v>0</v>
      </c>
      <c r="DU45" s="17"/>
      <c r="DV45" s="51">
        <f t="shared" si="73"/>
        <v>0</v>
      </c>
      <c r="DW45" s="102">
        <f t="shared" si="90"/>
        <v>9</v>
      </c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</row>
    <row r="46" spans="1:145" ht="15">
      <c r="A46" s="81" t="s">
        <v>77</v>
      </c>
      <c r="B46" s="14">
        <v>51.3</v>
      </c>
      <c r="C46" s="27">
        <v>2872.9</v>
      </c>
      <c r="D46" s="31">
        <v>2238.3</v>
      </c>
      <c r="E46" s="28"/>
      <c r="F46" s="55">
        <f t="shared" si="52"/>
        <v>0.08083832335329343</v>
      </c>
      <c r="G46" s="41" t="s">
        <v>30</v>
      </c>
      <c r="H46" s="74">
        <f t="shared" si="53"/>
        <v>0</v>
      </c>
      <c r="I46" s="31"/>
      <c r="J46" s="15">
        <v>2852.3</v>
      </c>
      <c r="K46" s="75">
        <v>2238.3</v>
      </c>
      <c r="L46" s="29"/>
      <c r="M46" s="56">
        <f t="shared" si="74"/>
        <v>0</v>
      </c>
      <c r="N46" s="41" t="s">
        <v>32</v>
      </c>
      <c r="O46" s="51">
        <f>IF(M46&lt;=0.5,1,0)</f>
        <v>1</v>
      </c>
      <c r="P46" s="14"/>
      <c r="Q46" s="31"/>
      <c r="R46" s="58">
        <f t="shared" si="75"/>
        <v>0</v>
      </c>
      <c r="S46" s="41" t="s">
        <v>33</v>
      </c>
      <c r="T46" s="51">
        <f t="shared" si="54"/>
        <v>1</v>
      </c>
      <c r="U46" s="16"/>
      <c r="V46" s="78">
        <v>2924.2</v>
      </c>
      <c r="W46" s="31">
        <v>48</v>
      </c>
      <c r="X46" s="58">
        <f t="shared" si="76"/>
        <v>0</v>
      </c>
      <c r="Y46" s="41" t="s">
        <v>31</v>
      </c>
      <c r="Z46" s="51">
        <f t="shared" si="55"/>
        <v>1</v>
      </c>
      <c r="AA46" s="31"/>
      <c r="AB46" s="31">
        <v>51.3</v>
      </c>
      <c r="AC46" s="31"/>
      <c r="AD46" s="58">
        <f t="shared" si="77"/>
        <v>0</v>
      </c>
      <c r="AE46" s="41" t="s">
        <v>33</v>
      </c>
      <c r="AF46" s="51">
        <f t="shared" si="78"/>
        <v>1</v>
      </c>
      <c r="AG46" s="17">
        <v>793</v>
      </c>
      <c r="AH46" s="17">
        <v>838</v>
      </c>
      <c r="AI46" s="58">
        <f t="shared" si="79"/>
        <v>0.9463007159904535</v>
      </c>
      <c r="AJ46" s="41" t="s">
        <v>33</v>
      </c>
      <c r="AK46" s="51">
        <f t="shared" si="56"/>
        <v>1</v>
      </c>
      <c r="AL46" s="31">
        <v>508.4</v>
      </c>
      <c r="AM46" s="31">
        <v>528.7</v>
      </c>
      <c r="AN46" s="66">
        <f t="shared" si="57"/>
        <v>0.9616039341781728</v>
      </c>
      <c r="AO46" s="41" t="s">
        <v>33</v>
      </c>
      <c r="AP46" s="51">
        <f t="shared" si="58"/>
        <v>1</v>
      </c>
      <c r="AQ46" s="47">
        <v>11</v>
      </c>
      <c r="AR46" s="41" t="s">
        <v>45</v>
      </c>
      <c r="AS46" s="51">
        <f t="shared" si="59"/>
        <v>0</v>
      </c>
      <c r="AT46" s="17"/>
      <c r="AU46" s="29"/>
      <c r="AV46" s="17"/>
      <c r="AW46" s="17"/>
      <c r="AX46" s="68">
        <f t="shared" si="60"/>
        <v>0</v>
      </c>
      <c r="AY46" s="41">
        <v>0</v>
      </c>
      <c r="AZ46" s="51">
        <f t="shared" si="80"/>
        <v>0</v>
      </c>
      <c r="BA46" s="17"/>
      <c r="BB46" s="17"/>
      <c r="BC46" s="69">
        <f t="shared" si="91"/>
        <v>0</v>
      </c>
      <c r="BD46" s="41" t="s">
        <v>50</v>
      </c>
      <c r="BE46" s="51">
        <f t="shared" si="81"/>
        <v>1</v>
      </c>
      <c r="BF46" s="17"/>
      <c r="BG46" s="63">
        <f t="shared" si="98"/>
        <v>2876.2</v>
      </c>
      <c r="BH46" s="59">
        <f t="shared" si="61"/>
        <v>0</v>
      </c>
      <c r="BI46" s="51">
        <f t="shared" si="82"/>
        <v>-1</v>
      </c>
      <c r="BJ46" s="17">
        <v>0</v>
      </c>
      <c r="BK46" s="17">
        <v>1</v>
      </c>
      <c r="BL46" s="58">
        <f t="shared" si="62"/>
        <v>0</v>
      </c>
      <c r="BM46" s="51">
        <f t="shared" si="83"/>
        <v>-1</v>
      </c>
      <c r="BN46" s="17">
        <v>614</v>
      </c>
      <c r="BO46" s="17">
        <v>478.3</v>
      </c>
      <c r="BP46" s="59">
        <f t="shared" si="50"/>
        <v>1.283713150742212</v>
      </c>
      <c r="BQ46" s="51">
        <f t="shared" si="63"/>
        <v>0</v>
      </c>
      <c r="BR46" s="96">
        <v>634.7</v>
      </c>
      <c r="BS46" s="101">
        <v>614</v>
      </c>
      <c r="BT46" s="98">
        <f t="shared" si="92"/>
        <v>1.03371335504886</v>
      </c>
      <c r="BU46" s="51">
        <f t="shared" si="64"/>
        <v>0</v>
      </c>
      <c r="BV46" s="17">
        <v>614</v>
      </c>
      <c r="BW46" s="18">
        <v>388.4</v>
      </c>
      <c r="BX46" s="17">
        <v>504</v>
      </c>
      <c r="BY46" s="17">
        <v>360.7</v>
      </c>
      <c r="BZ46" s="58">
        <f t="shared" si="95"/>
        <v>1.1313702532162881</v>
      </c>
      <c r="CA46" s="51">
        <f t="shared" si="65"/>
        <v>1</v>
      </c>
      <c r="CB46" s="17">
        <f>1348-CC46-CD46-CE46</f>
        <v>635.4000000000001</v>
      </c>
      <c r="CC46" s="18">
        <v>169.3</v>
      </c>
      <c r="CD46" s="18">
        <f>440.7-CC46</f>
        <v>271.4</v>
      </c>
      <c r="CE46" s="18">
        <f>712.6-CC46-CD46</f>
        <v>271.9</v>
      </c>
      <c r="CF46" s="71">
        <f t="shared" si="84"/>
        <v>2.674992983440921</v>
      </c>
      <c r="CG46" s="51">
        <f t="shared" si="85"/>
        <v>0</v>
      </c>
      <c r="CH46" s="17">
        <v>0</v>
      </c>
      <c r="CI46" s="51">
        <f t="shared" si="66"/>
        <v>0</v>
      </c>
      <c r="CJ46" s="17"/>
      <c r="CK46" s="111">
        <v>2924.2</v>
      </c>
      <c r="CL46" s="17"/>
      <c r="CM46" s="18">
        <v>1014.5</v>
      </c>
      <c r="CN46" s="115">
        <f t="shared" si="93"/>
        <v>0</v>
      </c>
      <c r="CO46" s="51">
        <f t="shared" si="67"/>
        <v>1</v>
      </c>
      <c r="CP46" s="14">
        <v>0</v>
      </c>
      <c r="CQ46" s="96">
        <v>634.7</v>
      </c>
      <c r="CR46" s="31">
        <v>0</v>
      </c>
      <c r="CS46" s="31">
        <v>523.5</v>
      </c>
      <c r="CT46" s="58">
        <f t="shared" si="86"/>
        <v>0</v>
      </c>
      <c r="CU46" s="51">
        <f t="shared" si="94"/>
        <v>1</v>
      </c>
      <c r="CV46" s="47"/>
      <c r="CW46" s="51">
        <f t="shared" si="68"/>
        <v>0</v>
      </c>
      <c r="CX46" s="17">
        <v>0</v>
      </c>
      <c r="CY46" s="17">
        <v>1</v>
      </c>
      <c r="CZ46" s="17">
        <v>1</v>
      </c>
      <c r="DA46" s="17">
        <v>1</v>
      </c>
      <c r="DB46" s="17">
        <v>0</v>
      </c>
      <c r="DC46" s="41">
        <f t="shared" si="99"/>
        <v>3</v>
      </c>
      <c r="DD46" s="51">
        <f t="shared" si="87"/>
        <v>0</v>
      </c>
      <c r="DE46" s="29"/>
      <c r="DF46" s="51">
        <f t="shared" si="69"/>
        <v>0</v>
      </c>
      <c r="DG46" s="17"/>
      <c r="DH46" s="51">
        <f t="shared" si="88"/>
        <v>0</v>
      </c>
      <c r="DI46" s="17"/>
      <c r="DJ46" s="51">
        <f t="shared" si="70"/>
        <v>0</v>
      </c>
      <c r="DK46" s="17"/>
      <c r="DL46" s="51">
        <f t="shared" si="71"/>
        <v>0</v>
      </c>
      <c r="DM46" s="17"/>
      <c r="DN46" s="51">
        <f t="shared" si="89"/>
        <v>0</v>
      </c>
      <c r="DO46" s="17"/>
      <c r="DP46" s="51">
        <f t="shared" si="96"/>
        <v>0</v>
      </c>
      <c r="DQ46" s="17"/>
      <c r="DR46" s="51">
        <f t="shared" si="72"/>
        <v>0</v>
      </c>
      <c r="DS46" s="17"/>
      <c r="DT46" s="51">
        <f t="shared" si="97"/>
        <v>0</v>
      </c>
      <c r="DU46" s="17"/>
      <c r="DV46" s="51">
        <f t="shared" si="73"/>
        <v>0</v>
      </c>
      <c r="DW46" s="102">
        <f t="shared" si="90"/>
        <v>8</v>
      </c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</row>
    <row r="47" spans="1:145" ht="15">
      <c r="A47" s="29"/>
      <c r="B47" s="14"/>
      <c r="C47" s="27"/>
      <c r="D47" s="14"/>
      <c r="E47" s="28"/>
      <c r="F47" s="55"/>
      <c r="G47" s="41"/>
      <c r="H47" s="74"/>
      <c r="I47" s="31"/>
      <c r="J47" s="15"/>
      <c r="K47" s="75"/>
      <c r="L47" s="29"/>
      <c r="M47" s="56"/>
      <c r="N47" s="41"/>
      <c r="O47" s="51"/>
      <c r="P47" s="14"/>
      <c r="Q47" s="31"/>
      <c r="R47" s="58"/>
      <c r="S47" s="41"/>
      <c r="T47" s="51"/>
      <c r="U47" s="16"/>
      <c r="V47" s="78"/>
      <c r="W47" s="31"/>
      <c r="X47" s="58"/>
      <c r="Y47" s="41"/>
      <c r="Z47" s="51"/>
      <c r="AA47" s="31"/>
      <c r="AB47" s="31"/>
      <c r="AC47" s="31"/>
      <c r="AD47" s="58"/>
      <c r="AE47" s="41"/>
      <c r="AF47" s="51"/>
      <c r="AG47" s="17"/>
      <c r="AH47" s="17"/>
      <c r="AI47" s="58"/>
      <c r="AJ47" s="41"/>
      <c r="AK47" s="51"/>
      <c r="AL47" s="31"/>
      <c r="AM47" s="31"/>
      <c r="AN47" s="66"/>
      <c r="AO47" s="41"/>
      <c r="AP47" s="51"/>
      <c r="AQ47" s="47"/>
      <c r="AR47" s="41"/>
      <c r="AS47" s="51"/>
      <c r="AT47" s="17"/>
      <c r="AU47" s="29"/>
      <c r="AV47" s="17"/>
      <c r="AW47" s="17"/>
      <c r="AX47" s="68"/>
      <c r="AY47" s="41"/>
      <c r="AZ47" s="51"/>
      <c r="BA47" s="17"/>
      <c r="BB47" s="17"/>
      <c r="BC47" s="69"/>
      <c r="BD47" s="41"/>
      <c r="BE47" s="51"/>
      <c r="BF47" s="17"/>
      <c r="BG47" s="29"/>
      <c r="BH47" s="59"/>
      <c r="BI47" s="51"/>
      <c r="BJ47" s="17"/>
      <c r="BK47" s="17"/>
      <c r="BL47" s="58"/>
      <c r="BM47" s="51"/>
      <c r="BN47" s="17"/>
      <c r="BO47" s="17"/>
      <c r="BP47" s="59"/>
      <c r="BQ47" s="51"/>
      <c r="BR47" s="95"/>
      <c r="BS47" s="29"/>
      <c r="BT47" s="98"/>
      <c r="BU47" s="51"/>
      <c r="BV47" s="17"/>
      <c r="BW47" s="18"/>
      <c r="BX47" s="17"/>
      <c r="BY47" s="17"/>
      <c r="BZ47" s="58"/>
      <c r="CA47" s="51"/>
      <c r="CB47" s="17"/>
      <c r="CC47" s="29"/>
      <c r="CD47" s="30"/>
      <c r="CE47" s="29"/>
      <c r="CF47" s="71"/>
      <c r="CG47" s="51"/>
      <c r="CH47" s="17"/>
      <c r="CI47" s="51"/>
      <c r="CJ47" s="17"/>
      <c r="CK47" s="111"/>
      <c r="CL47" s="17"/>
      <c r="CM47" s="18"/>
      <c r="CN47" s="41"/>
      <c r="CO47" s="51"/>
      <c r="CP47" s="14"/>
      <c r="CQ47" s="31"/>
      <c r="CR47" s="31"/>
      <c r="CS47" s="31"/>
      <c r="CT47" s="58"/>
      <c r="CU47" s="51"/>
      <c r="CV47" s="47"/>
      <c r="CW47" s="51"/>
      <c r="CX47" s="17"/>
      <c r="CY47" s="17"/>
      <c r="CZ47" s="17"/>
      <c r="DA47" s="17"/>
      <c r="DB47" s="17"/>
      <c r="DC47" s="41"/>
      <c r="DD47" s="51"/>
      <c r="DE47" s="29"/>
      <c r="DF47" s="51"/>
      <c r="DG47" s="17"/>
      <c r="DH47" s="51"/>
      <c r="DI47" s="17"/>
      <c r="DJ47" s="51"/>
      <c r="DK47" s="17"/>
      <c r="DL47" s="51"/>
      <c r="DM47" s="17"/>
      <c r="DN47" s="51"/>
      <c r="DO47" s="17"/>
      <c r="DP47" s="51"/>
      <c r="DQ47" s="17"/>
      <c r="DR47" s="51"/>
      <c r="DS47" s="17"/>
      <c r="DT47" s="51"/>
      <c r="DU47" s="17"/>
      <c r="DV47" s="51"/>
      <c r="DW47" s="91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</row>
    <row r="49" spans="115:125" ht="15">
      <c r="DK49" s="86" t="s">
        <v>131</v>
      </c>
      <c r="DL49" s="86"/>
      <c r="DM49" s="4"/>
      <c r="DN49" s="4"/>
      <c r="DO49" s="4"/>
      <c r="DP49" s="4" t="s">
        <v>129</v>
      </c>
      <c r="DQ49" s="4"/>
      <c r="DR49" s="4"/>
      <c r="DS49" s="4"/>
      <c r="DT49" s="4"/>
      <c r="DU49" s="4"/>
    </row>
    <row r="50" spans="115:125" ht="12.75"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</row>
    <row r="51" spans="115:125" ht="12.75">
      <c r="DK51" s="83" t="s">
        <v>118</v>
      </c>
      <c r="DL51" s="83"/>
      <c r="DM51" s="4"/>
      <c r="DN51" s="4"/>
      <c r="DO51" s="4"/>
      <c r="DP51" s="4"/>
      <c r="DQ51" s="4"/>
      <c r="DR51" s="4"/>
      <c r="DS51" s="4"/>
      <c r="DT51" s="4"/>
      <c r="DU51" s="4"/>
    </row>
    <row r="52" spans="115:125" ht="12.75">
      <c r="DK52" s="83" t="s">
        <v>120</v>
      </c>
      <c r="DL52" s="83"/>
      <c r="DM52" s="4"/>
      <c r="DN52" s="4"/>
      <c r="DO52" s="4"/>
      <c r="DP52" s="4"/>
      <c r="DQ52" s="4"/>
      <c r="DR52" s="4"/>
      <c r="DS52" s="4"/>
      <c r="DT52" s="4"/>
      <c r="DU52" s="4"/>
    </row>
    <row r="53" spans="115:125" ht="12.75">
      <c r="DK53" s="83" t="s">
        <v>119</v>
      </c>
      <c r="DL53" s="83"/>
      <c r="DM53" s="4"/>
      <c r="DN53" s="4"/>
      <c r="DO53" s="4"/>
      <c r="DP53" s="4"/>
      <c r="DQ53" s="4"/>
      <c r="DR53" s="4"/>
      <c r="DS53" s="4"/>
      <c r="DT53" s="4"/>
      <c r="DU53" s="4"/>
    </row>
    <row r="54" spans="119:125" ht="12.75">
      <c r="DO54" s="4"/>
      <c r="DP54" s="4"/>
      <c r="DQ54" s="4"/>
      <c r="DR54" s="4"/>
      <c r="DS54" s="4"/>
      <c r="DT54" s="4"/>
      <c r="DU54" s="4"/>
    </row>
  </sheetData>
  <mergeCells count="66">
    <mergeCell ref="DQ34:DR34"/>
    <mergeCell ref="DS34:DT34"/>
    <mergeCell ref="DU34:DV34"/>
    <mergeCell ref="DW34:DW35"/>
    <mergeCell ref="DI34:DJ34"/>
    <mergeCell ref="DK34:DL34"/>
    <mergeCell ref="DM34:DN34"/>
    <mergeCell ref="DO34:DP34"/>
    <mergeCell ref="CV34:CW34"/>
    <mergeCell ref="CX34:DD34"/>
    <mergeCell ref="DE34:DF34"/>
    <mergeCell ref="DG34:DH34"/>
    <mergeCell ref="CB34:CG34"/>
    <mergeCell ref="CH34:CI34"/>
    <mergeCell ref="CJ34:CO34"/>
    <mergeCell ref="CP34:CU34"/>
    <mergeCell ref="BJ34:BM34"/>
    <mergeCell ref="BN34:BQ34"/>
    <mergeCell ref="BR34:BU34"/>
    <mergeCell ref="BV34:CA34"/>
    <mergeCell ref="AQ34:AS34"/>
    <mergeCell ref="AT34:AZ34"/>
    <mergeCell ref="BA34:BE34"/>
    <mergeCell ref="BF34:BI34"/>
    <mergeCell ref="U34:Z34"/>
    <mergeCell ref="AA34:AF34"/>
    <mergeCell ref="AG34:AK34"/>
    <mergeCell ref="AL34:AP34"/>
    <mergeCell ref="A34:A35"/>
    <mergeCell ref="B34:H34"/>
    <mergeCell ref="I34:O34"/>
    <mergeCell ref="P34:T34"/>
    <mergeCell ref="A6:A7"/>
    <mergeCell ref="B6:H6"/>
    <mergeCell ref="I6:O6"/>
    <mergeCell ref="P6:T6"/>
    <mergeCell ref="U6:Z6"/>
    <mergeCell ref="AA6:AF6"/>
    <mergeCell ref="AG6:AK6"/>
    <mergeCell ref="AL6:AP6"/>
    <mergeCell ref="AQ6:AS6"/>
    <mergeCell ref="AT6:AZ6"/>
    <mergeCell ref="BA6:BE6"/>
    <mergeCell ref="BF6:BI6"/>
    <mergeCell ref="BJ6:BM6"/>
    <mergeCell ref="BN6:BQ6"/>
    <mergeCell ref="BR6:BU6"/>
    <mergeCell ref="BV6:CA6"/>
    <mergeCell ref="CB6:CG6"/>
    <mergeCell ref="CH6:CI6"/>
    <mergeCell ref="CJ6:CO6"/>
    <mergeCell ref="CP6:CU6"/>
    <mergeCell ref="DM6:DN6"/>
    <mergeCell ref="CV6:CW6"/>
    <mergeCell ref="CX6:DD6"/>
    <mergeCell ref="DE6:DF6"/>
    <mergeCell ref="DW6:DW7"/>
    <mergeCell ref="AG20:AH20"/>
    <mergeCell ref="AL20:AM20"/>
    <mergeCell ref="DO6:DP6"/>
    <mergeCell ref="DQ6:DR6"/>
    <mergeCell ref="DS6:DT6"/>
    <mergeCell ref="DU6:DV6"/>
    <mergeCell ref="DG6:DH6"/>
    <mergeCell ref="DI6:DJ6"/>
    <mergeCell ref="DK6:DL6"/>
  </mergeCells>
  <printOptions/>
  <pageMargins left="0.75" right="0.7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Кировская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user16</dc:creator>
  <cp:keywords/>
  <dc:description/>
  <cp:lastModifiedBy>Admin</cp:lastModifiedBy>
  <cp:lastPrinted>2011-02-15T06:00:58Z</cp:lastPrinted>
  <dcterms:created xsi:type="dcterms:W3CDTF">2009-01-27T10:52:16Z</dcterms:created>
  <dcterms:modified xsi:type="dcterms:W3CDTF">2011-02-28T13:08:14Z</dcterms:modified>
  <cp:category/>
  <cp:version/>
  <cp:contentType/>
  <cp:contentStatus/>
</cp:coreProperties>
</file>